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comments2.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showPivotChartFilter="1" defaultThemeVersion="124226"/>
  <mc:AlternateContent xmlns:mc="http://schemas.openxmlformats.org/markup-compatibility/2006">
    <mc:Choice Requires="x15">
      <x15ac:absPath xmlns:x15ac="http://schemas.microsoft.com/office/spreadsheetml/2010/11/ac" url="C:\Users\m31670\Desktop\piave\Changement pags internet PIAVE\AAP Sécurité\"/>
    </mc:Choice>
  </mc:AlternateContent>
  <bookViews>
    <workbookView xWindow="0" yWindow="0" windowWidth="28800" windowHeight="12435"/>
  </bookViews>
  <sheets>
    <sheet name="Explications" sheetId="155" r:id="rId1"/>
    <sheet name="Calendrier" sheetId="100" r:id="rId2"/>
    <sheet name="Partenaires" sheetId="8" r:id="rId3"/>
    <sheet name="Devis" sheetId="97" r:id="rId4"/>
    <sheet name="Synthèse devis" sheetId="157" r:id="rId5"/>
    <sheet name="Part. vs nature coûts" sheetId="66" r:id="rId6"/>
    <sheet name="Lots vs nature coûts" sheetId="129" r:id="rId7"/>
    <sheet name="Part. vs lots" sheetId="98" r:id="rId8"/>
    <sheet name="Part. vs sous-lots" sheetId="127" r:id="rId9"/>
    <sheet name="Part. vs rh" sheetId="68" r:id="rId10"/>
    <sheet name="Vérif. fin EC" sheetId="61" r:id="rId11"/>
    <sheet name="Vérif. début EC" sheetId="143" r:id="rId12"/>
  </sheets>
  <definedNames>
    <definedName name="_xlnm._FilterDatabase" localSheetId="3" hidden="1">Devis!$A$6:$AB$30</definedName>
    <definedName name="_xlnm._FilterDatabase" localSheetId="2" hidden="1">Partenaires!$B$1:$E$6</definedName>
    <definedName name="Nom_court" localSheetId="4">Tableau_Partenaires[Nom court]</definedName>
    <definedName name="Nom_court">Tableau_Partenaires[Nom court]</definedName>
    <definedName name="Noms_régimes" localSheetId="4">#REF!</definedName>
    <definedName name="Noms_régimes">#REF!</definedName>
  </definedNames>
  <calcPr calcId="152511"/>
  <pivotCaches>
    <pivotCache cacheId="4" r:id="rId13"/>
    <pivotCache cacheId="13" r:id="rId14"/>
  </pivotCaches>
</workbook>
</file>

<file path=xl/calcChain.xml><?xml version="1.0" encoding="utf-8"?>
<calcChain xmlns="http://schemas.openxmlformats.org/spreadsheetml/2006/main">
  <c r="P30" i="97" l="1"/>
  <c r="P29" i="97"/>
  <c r="P28" i="97"/>
  <c r="V28" i="97" s="1"/>
  <c r="P27" i="97"/>
  <c r="V27" i="97" s="1"/>
  <c r="P26" i="97"/>
  <c r="P25" i="97"/>
  <c r="P24" i="97"/>
  <c r="P23" i="97"/>
  <c r="P22" i="97"/>
  <c r="P21" i="97"/>
  <c r="P20" i="97"/>
  <c r="P19" i="97"/>
  <c r="P18" i="97"/>
  <c r="P17" i="97"/>
  <c r="P16" i="97"/>
  <c r="P15" i="97"/>
  <c r="P14" i="97"/>
  <c r="P13" i="97"/>
  <c r="P12" i="97"/>
  <c r="P11" i="97"/>
  <c r="P10" i="97"/>
  <c r="P9" i="97"/>
  <c r="P8" i="97"/>
  <c r="P7" i="97"/>
  <c r="O3" i="97" l="1"/>
  <c r="O4" i="97"/>
  <c r="U19" i="97" l="1"/>
  <c r="V19" i="97" s="1"/>
  <c r="Q19" i="97"/>
  <c r="R19" i="97"/>
  <c r="S19" i="97"/>
  <c r="S18" i="97"/>
  <c r="R18" i="97"/>
  <c r="Q18" i="97"/>
  <c r="X18" i="97"/>
  <c r="X19" i="97" l="1"/>
  <c r="W19" i="97"/>
  <c r="T19" i="97"/>
  <c r="AA19" i="97"/>
  <c r="Y19" i="97"/>
  <c r="U18" i="97"/>
  <c r="V18" i="97" s="1"/>
  <c r="Y18" i="97"/>
  <c r="W18" i="97"/>
  <c r="AA18" i="97"/>
  <c r="T18" i="97"/>
  <c r="Q7" i="97"/>
  <c r="Q8" i="97"/>
  <c r="Q9" i="97"/>
  <c r="Q10" i="97"/>
  <c r="Q11" i="97"/>
  <c r="Q12" i="97"/>
  <c r="Q13" i="97"/>
  <c r="Q14" i="97"/>
  <c r="Q15" i="97"/>
  <c r="Q16" i="97"/>
  <c r="Q17" i="97"/>
  <c r="Q20" i="97"/>
  <c r="Q21" i="97"/>
  <c r="Q22" i="97"/>
  <c r="Q23" i="97"/>
  <c r="Q24" i="97"/>
  <c r="Q25" i="97"/>
  <c r="Q26" i="97"/>
  <c r="Q27" i="97"/>
  <c r="Q28" i="97"/>
  <c r="Q29" i="97"/>
  <c r="Q30" i="97"/>
  <c r="U13" i="97"/>
  <c r="V13" i="97" s="1"/>
  <c r="R13" i="97"/>
  <c r="S13" i="97"/>
  <c r="U14" i="97"/>
  <c r="V14" i="97" s="1"/>
  <c r="R14" i="97"/>
  <c r="S14" i="97"/>
  <c r="U7" i="97"/>
  <c r="V7" i="97" s="1"/>
  <c r="U9" i="97"/>
  <c r="V9" i="97" s="1"/>
  <c r="U10" i="97"/>
  <c r="V10" i="97" s="1"/>
  <c r="U11" i="97"/>
  <c r="V11" i="97" s="1"/>
  <c r="U12" i="97"/>
  <c r="V12" i="97" s="1"/>
  <c r="U15" i="97"/>
  <c r="V15" i="97" s="1"/>
  <c r="U16" i="97"/>
  <c r="V16" i="97" s="1"/>
  <c r="U17" i="97"/>
  <c r="V17" i="97" s="1"/>
  <c r="U20" i="97"/>
  <c r="V20" i="97" s="1"/>
  <c r="U21" i="97"/>
  <c r="V21" i="97" s="1"/>
  <c r="U22" i="97"/>
  <c r="V22" i="97" s="1"/>
  <c r="U23" i="97"/>
  <c r="V23" i="97" s="1"/>
  <c r="U24" i="97"/>
  <c r="V24" i="97" s="1"/>
  <c r="U25" i="97"/>
  <c r="V25" i="97" s="1"/>
  <c r="U26" i="97"/>
  <c r="V26" i="97" s="1"/>
  <c r="U29" i="97"/>
  <c r="V29" i="97" s="1"/>
  <c r="U30" i="97"/>
  <c r="V30" i="97" s="1"/>
  <c r="Z19" i="97" l="1"/>
  <c r="AB19" i="97" s="1"/>
  <c r="Z18" i="97"/>
  <c r="AB18" i="97" s="1"/>
  <c r="W8" i="97"/>
  <c r="U8" i="97"/>
  <c r="V8" i="97" s="1"/>
  <c r="U28" i="97"/>
  <c r="U27" i="97"/>
  <c r="Y29" i="97"/>
  <c r="Y23" i="97"/>
  <c r="Y28" i="97"/>
  <c r="Y25" i="97"/>
  <c r="Y21" i="97"/>
  <c r="W30" i="97"/>
  <c r="W24" i="97"/>
  <c r="Y26" i="97"/>
  <c r="Y22" i="97"/>
  <c r="Y20" i="97"/>
  <c r="Y17" i="97"/>
  <c r="W16" i="97"/>
  <c r="W15" i="97"/>
  <c r="W14" i="97"/>
  <c r="T14" i="97"/>
  <c r="Y12" i="97"/>
  <c r="Y11" i="97"/>
  <c r="T10" i="97"/>
  <c r="Y9" i="97"/>
  <c r="W7" i="97"/>
  <c r="T13" i="97"/>
  <c r="X14" i="97"/>
  <c r="Y14" i="97"/>
  <c r="X13" i="97"/>
  <c r="AA13" i="97"/>
  <c r="W13" i="97"/>
  <c r="Y13" i="97"/>
  <c r="AA14" i="97"/>
  <c r="AA11" i="97"/>
  <c r="X11" i="97"/>
  <c r="W20" i="97"/>
  <c r="X29" i="97"/>
  <c r="X23" i="97"/>
  <c r="X12" i="97"/>
  <c r="X9" i="97"/>
  <c r="AA29" i="97"/>
  <c r="AA23" i="97"/>
  <c r="AA12" i="97"/>
  <c r="AA9" i="97"/>
  <c r="X28" i="97"/>
  <c r="AA28" i="97"/>
  <c r="T20" i="97"/>
  <c r="X26" i="97"/>
  <c r="X22" i="97"/>
  <c r="AA26" i="97"/>
  <c r="AA22" i="97"/>
  <c r="W10" i="97"/>
  <c r="X25" i="97"/>
  <c r="X21" i="97"/>
  <c r="X17" i="97"/>
  <c r="AA25" i="97"/>
  <c r="AA21" i="97"/>
  <c r="AA17" i="97"/>
  <c r="AA27" i="97"/>
  <c r="X27" i="97"/>
  <c r="AA10" i="97"/>
  <c r="X10" i="97"/>
  <c r="Y10" i="97"/>
  <c r="T16" i="97"/>
  <c r="T7" i="97"/>
  <c r="AA20" i="97"/>
  <c r="X20" i="97"/>
  <c r="AA16" i="97"/>
  <c r="X16" i="97"/>
  <c r="Y16" i="97"/>
  <c r="AA7" i="97"/>
  <c r="X7" i="97"/>
  <c r="Y7" i="97"/>
  <c r="T27" i="97"/>
  <c r="W27" i="97"/>
  <c r="Y27" i="97"/>
  <c r="Y30" i="97"/>
  <c r="Y24" i="97"/>
  <c r="Y15" i="97"/>
  <c r="Y8" i="97"/>
  <c r="T28" i="97"/>
  <c r="T25" i="97"/>
  <c r="T21" i="97"/>
  <c r="T17" i="97"/>
  <c r="T11" i="97"/>
  <c r="W28" i="97"/>
  <c r="W25" i="97"/>
  <c r="W21" i="97"/>
  <c r="W17" i="97"/>
  <c r="W11" i="97"/>
  <c r="X30" i="97"/>
  <c r="X24" i="97"/>
  <c r="X15" i="97"/>
  <c r="X8" i="97"/>
  <c r="AA30" i="97"/>
  <c r="AA24" i="97"/>
  <c r="AA15" i="97"/>
  <c r="AA8" i="97"/>
  <c r="T30" i="97"/>
  <c r="T24" i="97"/>
  <c r="T15" i="97"/>
  <c r="T8" i="97"/>
  <c r="T29" i="97"/>
  <c r="T26" i="97"/>
  <c r="T23" i="97"/>
  <c r="T22" i="97"/>
  <c r="T12" i="97"/>
  <c r="T9" i="97"/>
  <c r="W29" i="97"/>
  <c r="W26" i="97"/>
  <c r="W23" i="97"/>
  <c r="W22" i="97"/>
  <c r="W12" i="97"/>
  <c r="W9" i="97"/>
  <c r="C4" i="100"/>
  <c r="C5" i="100"/>
  <c r="C3" i="100"/>
  <c r="R7" i="97"/>
  <c r="S7" i="97"/>
  <c r="R8" i="97"/>
  <c r="R9" i="97"/>
  <c r="R10" i="97"/>
  <c r="R11" i="97"/>
  <c r="R12" i="97"/>
  <c r="R15" i="97"/>
  <c r="R16" i="97"/>
  <c r="R17" i="97"/>
  <c r="R20" i="97"/>
  <c r="R21" i="97"/>
  <c r="R22" i="97"/>
  <c r="R23" i="97"/>
  <c r="R24" i="97"/>
  <c r="R25" i="97"/>
  <c r="R26" i="97"/>
  <c r="R27" i="97"/>
  <c r="R28" i="97"/>
  <c r="R29" i="97"/>
  <c r="R30" i="97"/>
  <c r="S8" i="97"/>
  <c r="S9" i="97"/>
  <c r="S10" i="97"/>
  <c r="S11" i="97"/>
  <c r="S12" i="97"/>
  <c r="S15" i="97"/>
  <c r="S16" i="97"/>
  <c r="S17" i="97"/>
  <c r="S20" i="97"/>
  <c r="S21" i="97"/>
  <c r="S22" i="97"/>
  <c r="S23" i="97"/>
  <c r="S24" i="97"/>
  <c r="S25" i="97"/>
  <c r="S26" i="97"/>
  <c r="S27" i="97"/>
  <c r="S28" i="97"/>
  <c r="S29" i="97"/>
  <c r="S30" i="97"/>
  <c r="I3" i="97"/>
  <c r="J3" i="97"/>
  <c r="K3" i="97"/>
  <c r="L3" i="97"/>
  <c r="M3" i="97"/>
  <c r="I4" i="97"/>
  <c r="J4" i="97"/>
  <c r="K4" i="97"/>
  <c r="L4" i="97"/>
  <c r="M4" i="97"/>
  <c r="N4" i="97"/>
  <c r="N3" i="97"/>
  <c r="T4" i="97" l="1"/>
  <c r="T3" i="97"/>
  <c r="Z22" i="97"/>
  <c r="AB22" i="97" s="1"/>
  <c r="Z13" i="97"/>
  <c r="AB13" i="97" s="1"/>
  <c r="Z8" i="97"/>
  <c r="AB8" i="97" s="1"/>
  <c r="Z9" i="97"/>
  <c r="AB9" i="97" s="1"/>
  <c r="Z11" i="97"/>
  <c r="AB11" i="97" s="1"/>
  <c r="Z15" i="97"/>
  <c r="AB15" i="97" s="1"/>
  <c r="Z29" i="97"/>
  <c r="AB29" i="97" s="1"/>
  <c r="Z20" i="97"/>
  <c r="AB20" i="97" s="1"/>
  <c r="Z14" i="97"/>
  <c r="AB14" i="97" s="1"/>
  <c r="Z30" i="97"/>
  <c r="AB30" i="97" s="1"/>
  <c r="Z12" i="97"/>
  <c r="AB12" i="97" s="1"/>
  <c r="Z16" i="97"/>
  <c r="AB16" i="97" s="1"/>
  <c r="Z27" i="97"/>
  <c r="AB27" i="97" s="1"/>
  <c r="X4" i="97"/>
  <c r="W4" i="97"/>
  <c r="W3" i="97"/>
  <c r="Y4" i="97"/>
  <c r="X3" i="97"/>
  <c r="Y3" i="97"/>
  <c r="U4" i="97"/>
  <c r="U3" i="97"/>
  <c r="Z17" i="97" l="1"/>
  <c r="AB17" i="97" s="1"/>
  <c r="Z7" i="97"/>
  <c r="Z28" i="97"/>
  <c r="AB28" i="97" s="1"/>
  <c r="Z10" i="97"/>
  <c r="AB10" i="97" s="1"/>
  <c r="Z26" i="97"/>
  <c r="AB26" i="97" s="1"/>
  <c r="Z21" i="97"/>
  <c r="AB21" i="97" s="1"/>
  <c r="Z25" i="97"/>
  <c r="AB25" i="97" s="1"/>
  <c r="Z24" i="97"/>
  <c r="AB24" i="97" s="1"/>
  <c r="Z23" i="97"/>
  <c r="AB23" i="97" s="1"/>
  <c r="V4" i="97"/>
  <c r="V3" i="97"/>
  <c r="AB7" i="97" l="1"/>
  <c r="AB3" i="97" s="1"/>
  <c r="Z3" i="97"/>
  <c r="Z4" i="97"/>
  <c r="AA3" i="97"/>
  <c r="AA4" i="97"/>
  <c r="AB4" i="97" l="1"/>
</calcChain>
</file>

<file path=xl/comments1.xml><?xml version="1.0" encoding="utf-8"?>
<comments xmlns="http://schemas.openxmlformats.org/spreadsheetml/2006/main">
  <authors>
    <author>MLe</author>
    <author>Thierry BUR</author>
    <author/>
  </authors>
  <commentList>
    <comment ref="A1" authorId="0" shapeId="0">
      <text>
        <r>
          <rPr>
            <sz val="8"/>
            <color indexed="81"/>
            <rFont val="Tahoma"/>
            <family val="2"/>
          </rPr>
          <t>Nom abrégé des Partenaires</t>
        </r>
        <r>
          <rPr>
            <sz val="8"/>
            <color indexed="81"/>
            <rFont val="Tahoma"/>
            <family val="2"/>
          </rPr>
          <t xml:space="preserve">
</t>
        </r>
      </text>
    </comment>
    <comment ref="B1" authorId="0" shapeId="0">
      <text>
        <r>
          <rPr>
            <sz val="8"/>
            <color indexed="81"/>
            <rFont val="Tahoma"/>
            <family val="2"/>
          </rPr>
          <t xml:space="preserve">Nom juridique complet des partenaires
</t>
        </r>
      </text>
    </comment>
    <comment ref="C1" authorId="1" shapeId="0">
      <text>
        <r>
          <rPr>
            <sz val="9"/>
            <color indexed="81"/>
            <rFont val="Tahoma"/>
            <family val="2"/>
          </rPr>
          <t>Salaire mensuel moyen charges patronales incluses pour les ingénieurs et cadres</t>
        </r>
      </text>
    </comment>
    <comment ref="D1" authorId="1" shapeId="0">
      <text>
        <r>
          <rPr>
            <sz val="9"/>
            <color indexed="81"/>
            <rFont val="Tahoma"/>
            <family val="2"/>
          </rPr>
          <t xml:space="preserve">Salaire mensuel moyen charges patronales incluses pour les techniciens supérieurs et agents de maîtrise
</t>
        </r>
      </text>
    </comment>
    <comment ref="E1" authorId="1" shapeId="0">
      <text>
        <r>
          <rPr>
            <sz val="9"/>
            <color indexed="81"/>
            <rFont val="Tahoma"/>
            <family val="2"/>
          </rPr>
          <t>Salaire mensuel moyen charges patronales incluses pour les employés administratifs et ouvriers</t>
        </r>
      </text>
    </comment>
    <comment ref="F1" authorId="1" shapeId="0">
      <text>
        <r>
          <rPr>
            <sz val="9"/>
            <color indexed="81"/>
            <rFont val="Tahoma"/>
            <family val="2"/>
          </rPr>
          <t xml:space="preserve">Au sens de la définition communautaire :
- PE : petite entreprise
- ME : moyenne entreprise
- GE : grande entreprise
- Labo : organisme de recherche
</t>
        </r>
      </text>
    </comment>
    <comment ref="G1" authorId="1" shapeId="0">
      <text>
        <r>
          <rPr>
            <sz val="9"/>
            <color indexed="81"/>
            <rFont val="Tahoma"/>
            <family val="2"/>
          </rPr>
          <t>Complets pour les entreprises.
Pour les labos, le choix doit être aligné sur celui retenu dans le cadre des autres projets collaboratifs présentés ou en cours d'exécution.</t>
        </r>
      </text>
    </comment>
    <comment ref="B2" authorId="2" shapeId="0">
      <text>
        <r>
          <rPr>
            <sz val="10"/>
            <color indexed="8"/>
            <rFont val="Times New Roman"/>
            <family val="1"/>
          </rPr>
          <t>Nom juridique complet du partenaire</t>
        </r>
      </text>
    </comment>
  </commentList>
</comments>
</file>

<file path=xl/comments2.xml><?xml version="1.0" encoding="utf-8"?>
<comments xmlns="http://schemas.openxmlformats.org/spreadsheetml/2006/main">
  <authors>
    <author>Michel</author>
    <author>MLe</author>
    <author>Thierry BUR</author>
  </authors>
  <commentList>
    <comment ref="A6" authorId="0" shapeId="0">
      <text>
        <r>
          <rPr>
            <sz val="8"/>
            <color indexed="81"/>
            <rFont val="Tahoma"/>
            <family val="2"/>
          </rPr>
          <t xml:space="preserve">Découpage de niveau 1
</t>
        </r>
      </text>
    </comment>
    <comment ref="B6" authorId="0" shapeId="0">
      <text>
        <r>
          <rPr>
            <sz val="8"/>
            <color indexed="81"/>
            <rFont val="Tahoma"/>
            <family val="2"/>
          </rPr>
          <t xml:space="preserve">Découpage de niveau 2 (optionnel)
</t>
        </r>
      </text>
    </comment>
    <comment ref="C6" authorId="0" shapeId="0">
      <text>
        <r>
          <rPr>
            <sz val="8"/>
            <color indexed="81"/>
            <rFont val="Tahoma"/>
            <family val="2"/>
          </rPr>
          <t>Découpage de niveau 3</t>
        </r>
        <r>
          <rPr>
            <b/>
            <sz val="8"/>
            <color indexed="81"/>
            <rFont val="Tahoma"/>
            <family val="2"/>
          </rPr>
          <t xml:space="preserve">
</t>
        </r>
      </text>
    </comment>
    <comment ref="D6" authorId="1" shapeId="0">
      <text>
        <r>
          <rPr>
            <sz val="8"/>
            <color indexed="81"/>
            <rFont val="Tahoma"/>
            <family val="2"/>
          </rPr>
          <t xml:space="preserve">Choisir le même nom pour toute ligne pointant sur le même lot, le même sous-lot et la même tâche 
</t>
        </r>
      </text>
    </comment>
    <comment ref="E6" authorId="2" shapeId="0">
      <text>
        <r>
          <rPr>
            <sz val="9"/>
            <color indexed="81"/>
            <rFont val="Tahoma"/>
            <family val="2"/>
          </rPr>
          <t xml:space="preserve">Nom court
</t>
        </r>
      </text>
    </comment>
    <comment ref="F6" authorId="0" shapeId="0">
      <text>
        <r>
          <rPr>
            <sz val="8"/>
            <color indexed="81"/>
            <rFont val="Tahoma"/>
            <family val="2"/>
          </rPr>
          <t xml:space="preserve">Mois de début de l'activité (mois inclus)
</t>
        </r>
      </text>
    </comment>
    <comment ref="G6" authorId="0" shapeId="0">
      <text>
        <r>
          <rPr>
            <sz val="8"/>
            <color indexed="81"/>
            <rFont val="Tahoma"/>
            <family val="2"/>
          </rPr>
          <t xml:space="preserve">Mois de fin de l'activité (mois inclus)
</t>
        </r>
      </text>
    </comment>
    <comment ref="H6" authorId="0" shapeId="0">
      <text>
        <r>
          <rPr>
            <sz val="8"/>
            <color indexed="81"/>
            <rFont val="Tahoma"/>
            <family val="2"/>
          </rPr>
          <t>Numéro du livrable auquel est rattachée l'activité élémentaire de la ligne de la base de données.</t>
        </r>
      </text>
    </comment>
    <comment ref="I6" authorId="0" shapeId="0">
      <text>
        <r>
          <rPr>
            <sz val="8"/>
            <color indexed="81"/>
            <rFont val="Tahoma"/>
            <family val="2"/>
          </rPr>
          <t xml:space="preserve">Nombre de personnes.mois de la catégorie 1 (ingénieurs et cadres)
</t>
        </r>
      </text>
    </comment>
    <comment ref="J6" authorId="0" shapeId="0">
      <text>
        <r>
          <rPr>
            <sz val="8"/>
            <color indexed="81"/>
            <rFont val="Tahoma"/>
            <family val="2"/>
          </rPr>
          <t xml:space="preserve">Nombre de personnes.mois de la catégorie 2 (techniciens supérieurs et agents de maîtrise)
</t>
        </r>
      </text>
    </comment>
    <comment ref="K6" authorId="0" shapeId="0">
      <text>
        <r>
          <rPr>
            <sz val="8"/>
            <color indexed="81"/>
            <rFont val="Tahoma"/>
            <family val="2"/>
          </rPr>
          <t>Nombre de personnes.mois de la catégorie 3 (employés administratifs et ouvriers)</t>
        </r>
        <r>
          <rPr>
            <b/>
            <sz val="8"/>
            <color indexed="81"/>
            <rFont val="Tahoma"/>
            <family val="2"/>
          </rPr>
          <t xml:space="preserve">
</t>
        </r>
      </text>
    </comment>
    <comment ref="L6" authorId="0" shapeId="0">
      <text>
        <r>
          <rPr>
            <sz val="8"/>
            <color indexed="81"/>
            <rFont val="Tahoma"/>
            <family val="2"/>
          </rPr>
          <t>Dépenses de sous-traitance</t>
        </r>
        <r>
          <rPr>
            <b/>
            <sz val="8"/>
            <color indexed="81"/>
            <rFont val="Tahoma"/>
            <family val="2"/>
          </rPr>
          <t xml:space="preserve">
</t>
        </r>
      </text>
    </comment>
    <comment ref="M6" authorId="0" shapeId="0">
      <text>
        <r>
          <rPr>
            <sz val="8"/>
            <color indexed="81"/>
            <rFont val="Tahoma"/>
            <family val="2"/>
          </rPr>
          <t>Contribution aux amortissements au pro rata du taux d'utilisation pour le projet</t>
        </r>
        <r>
          <rPr>
            <b/>
            <sz val="8"/>
            <color indexed="81"/>
            <rFont val="Tahoma"/>
            <family val="2"/>
          </rPr>
          <t xml:space="preserve">
</t>
        </r>
      </text>
    </comment>
    <comment ref="N6" authorId="0" shapeId="0">
      <text>
        <r>
          <rPr>
            <sz val="8"/>
            <color indexed="81"/>
            <rFont val="Tahoma"/>
            <family val="2"/>
          </rPr>
          <t xml:space="preserve">Autres achats (consommables, équipements non amortis…)
</t>
        </r>
      </text>
    </comment>
    <comment ref="O6" authorId="2" shapeId="0">
      <text>
        <r>
          <rPr>
            <sz val="9"/>
            <color indexed="81"/>
            <rFont val="Tahoma"/>
            <family val="2"/>
          </rPr>
          <t xml:space="preserve">Valeur brute des immobilisations, ventilées le cas échéant, selon les acomptes et autres tranches d'investissement
</t>
        </r>
      </text>
    </comment>
    <comment ref="S6" authorId="0" shapeId="0">
      <text>
        <r>
          <rPr>
            <sz val="8"/>
            <color indexed="81"/>
            <rFont val="Tahoma"/>
            <family val="2"/>
          </rPr>
          <t>Numéro de l'étape-clé à laquelle est rattaché le livrable (colonne précédente)</t>
        </r>
      </text>
    </comment>
  </commentList>
</comments>
</file>

<file path=xl/sharedStrings.xml><?xml version="1.0" encoding="utf-8"?>
<sst xmlns="http://schemas.openxmlformats.org/spreadsheetml/2006/main" count="305" uniqueCount="111">
  <si>
    <t>Données</t>
  </si>
  <si>
    <t>Lot</t>
  </si>
  <si>
    <t>Tache</t>
  </si>
  <si>
    <t>Partenaire</t>
  </si>
  <si>
    <t>Contribution aux amortissements</t>
  </si>
  <si>
    <t>Nom court</t>
  </si>
  <si>
    <t>TOTAL =&gt;</t>
  </si>
  <si>
    <t>SOUS-TOTAL =&gt;</t>
  </si>
  <si>
    <t>Livrable</t>
  </si>
  <si>
    <t>Etape-clef</t>
  </si>
  <si>
    <t>Mois de fin</t>
  </si>
  <si>
    <t>Mois de début</t>
  </si>
  <si>
    <t>Personne.mois cat 1</t>
  </si>
  <si>
    <t>Personne.mois cat 2</t>
  </si>
  <si>
    <t>Personne.mois cat 3</t>
  </si>
  <si>
    <t>Sous-lot (facultatif)</t>
  </si>
  <si>
    <t>Dépenses de sous-traitance H.T.</t>
  </si>
  <si>
    <t>Autres dépenses</t>
  </si>
  <si>
    <t xml:space="preserve">Nom des partenaires </t>
  </si>
  <si>
    <t>Salaire Cat. 1</t>
  </si>
  <si>
    <t>Salaire Cat. 2</t>
  </si>
  <si>
    <t>Salaire Cat. 3</t>
  </si>
  <si>
    <t>Date prévisionnelle</t>
  </si>
  <si>
    <t>T0</t>
  </si>
  <si>
    <t>Etapes clés</t>
  </si>
  <si>
    <t>Délais en mois</t>
  </si>
  <si>
    <t>EC01</t>
  </si>
  <si>
    <t>EC02</t>
  </si>
  <si>
    <t>EC03</t>
  </si>
  <si>
    <t>Erreur calendrier</t>
  </si>
  <si>
    <t>Total général</t>
  </si>
  <si>
    <t>LOT 1</t>
  </si>
  <si>
    <t>Gestion de projet</t>
  </si>
  <si>
    <t>IXE</t>
  </si>
  <si>
    <t>1.1</t>
  </si>
  <si>
    <t>IGREC</t>
  </si>
  <si>
    <t>ZED</t>
  </si>
  <si>
    <t>1.2</t>
  </si>
  <si>
    <t>1.3</t>
  </si>
  <si>
    <t>LOT 2</t>
  </si>
  <si>
    <t>2.1</t>
  </si>
  <si>
    <t>2.2</t>
  </si>
  <si>
    <t>LOT 3</t>
  </si>
  <si>
    <t>Prototype produit A</t>
  </si>
  <si>
    <t>3.3</t>
  </si>
  <si>
    <t>3.4</t>
  </si>
  <si>
    <t>LOT 4</t>
  </si>
  <si>
    <t>4.1</t>
  </si>
  <si>
    <t>4.2</t>
  </si>
  <si>
    <t>4.3</t>
  </si>
  <si>
    <t>Total LOT 1</t>
  </si>
  <si>
    <t>Total LOT 2</t>
  </si>
  <si>
    <t>Total LOT 3</t>
  </si>
  <si>
    <t>Total LOT 4</t>
  </si>
  <si>
    <t>(vide)</t>
  </si>
  <si>
    <t>Durée</t>
  </si>
  <si>
    <t>Total pers.mois présentés</t>
  </si>
  <si>
    <t>Somme de Total pers.mois présentés</t>
  </si>
  <si>
    <t>Colonnes calculées, ne rien modifier</t>
  </si>
  <si>
    <t>zone de saisie</t>
  </si>
  <si>
    <t>Investissement</t>
  </si>
  <si>
    <t>Fonctionnement</t>
  </si>
  <si>
    <t>Type de coûts</t>
  </si>
  <si>
    <t>Complets</t>
  </si>
  <si>
    <t>PE</t>
  </si>
  <si>
    <t>ME</t>
  </si>
  <si>
    <t>Labo</t>
  </si>
  <si>
    <t>Société IXE SARL</t>
  </si>
  <si>
    <t>Société IGREC SA</t>
  </si>
  <si>
    <t>Grande entreprise ZED</t>
  </si>
  <si>
    <t>GE</t>
  </si>
  <si>
    <t>ALPHA</t>
  </si>
  <si>
    <t>Laboratoire université ALPHA</t>
  </si>
  <si>
    <t>BETA</t>
  </si>
  <si>
    <t>Laboratoire université BETA</t>
  </si>
  <si>
    <t>Marginaux</t>
  </si>
  <si>
    <t>Catégorie partenaire</t>
  </si>
  <si>
    <t>Intitulé de la tache ou de l'investissement</t>
  </si>
  <si>
    <t>Destination des aides</t>
  </si>
  <si>
    <t>Salaires</t>
  </si>
  <si>
    <t>Frais généraux</t>
  </si>
  <si>
    <t>Sous-traitance</t>
  </si>
  <si>
    <t>Dotations aux amortissements</t>
  </si>
  <si>
    <t>Coûts de fonctionnement</t>
  </si>
  <si>
    <t>Autres_dépenses</t>
  </si>
  <si>
    <t>Coûts d'investissement</t>
  </si>
  <si>
    <t>Coûts totaux</t>
  </si>
  <si>
    <t>Faisabilité brique techno</t>
  </si>
  <si>
    <t>2.3</t>
  </si>
  <si>
    <t>Innovation procédé fabrication</t>
  </si>
  <si>
    <t>Détachement de personnel de ZED chez IXE</t>
  </si>
  <si>
    <t>Détachement de personnel de ZED chez IGREC</t>
  </si>
  <si>
    <t>LOT 5</t>
  </si>
  <si>
    <t>Investissement four</t>
  </si>
  <si>
    <t>Investissement laser</t>
  </si>
  <si>
    <t>Foire DRUPA</t>
  </si>
  <si>
    <t>Foire SITL</t>
  </si>
  <si>
    <t>LOT 6</t>
  </si>
  <si>
    <t>Total</t>
  </si>
  <si>
    <t>Somme de Salaires</t>
  </si>
  <si>
    <t>Somme de Frais généraux</t>
  </si>
  <si>
    <t>Somme de Sous-traitance</t>
  </si>
  <si>
    <t>Somme de Dotations aux amortissements</t>
  </si>
  <si>
    <t>Somme de Autres dépenses</t>
  </si>
  <si>
    <t>Somme de Coûts de fonctionnement</t>
  </si>
  <si>
    <t>Somme de Coûts d'investissement</t>
  </si>
  <si>
    <t>Somme de Coûts totaux</t>
  </si>
  <si>
    <t>Total LOT 5</t>
  </si>
  <si>
    <t>Total LOT 6</t>
  </si>
  <si>
    <t>Investissements</t>
  </si>
  <si>
    <t>Recherche brique techno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</si>
</sst>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quot;_-;\-* #,##0.00\ &quot;€&quot;_-;_-* &quot;-&quot;??\ &quot;€&quot;_-;_-@_-"/>
    <numFmt numFmtId="43" formatCode="_-* #,##0.00\ _€_-;\-* #,##0.00\ _€_-;_-* &quot;-&quot;??\ _€_-;_-@_-"/>
    <numFmt numFmtId="164" formatCode="0.0"/>
    <numFmt numFmtId="165" formatCode="#,##0\ &quot;€&quot;"/>
    <numFmt numFmtId="166" formatCode="#,##0;\-#,##0;&quot;&quot;"/>
    <numFmt numFmtId="167" formatCode="#,##0.0;\-#,##0.0;&quot;&quot;"/>
  </numFmts>
  <fonts count="19" x14ac:knownFonts="1">
    <font>
      <sz val="10"/>
      <name val="Arial"/>
    </font>
    <font>
      <sz val="10"/>
      <name val="Arial"/>
      <family val="2"/>
    </font>
    <font>
      <sz val="8"/>
      <name val="Arial"/>
      <family val="2"/>
    </font>
    <font>
      <sz val="10"/>
      <color indexed="9"/>
      <name val="Arial"/>
      <family val="2"/>
    </font>
    <font>
      <sz val="8"/>
      <color indexed="81"/>
      <name val="Tahoma"/>
      <family val="2"/>
    </font>
    <font>
      <b/>
      <sz val="8"/>
      <color indexed="81"/>
      <name val="Tahoma"/>
      <family val="2"/>
    </font>
    <font>
      <b/>
      <sz val="10"/>
      <name val="Arial"/>
      <family val="2"/>
    </font>
    <font>
      <sz val="10"/>
      <name val="Arial"/>
      <family val="2"/>
    </font>
    <font>
      <sz val="10"/>
      <color indexed="9"/>
      <name val="Arial"/>
      <family val="2"/>
    </font>
    <font>
      <sz val="10"/>
      <color indexed="18"/>
      <name val="Arial"/>
      <family val="2"/>
    </font>
    <font>
      <sz val="11"/>
      <color indexed="9"/>
      <name val="Arial"/>
      <family val="2"/>
    </font>
    <font>
      <sz val="10"/>
      <color indexed="17"/>
      <name val="Arial"/>
      <family val="2"/>
    </font>
    <font>
      <b/>
      <sz val="10"/>
      <color indexed="10"/>
      <name val="Arial"/>
      <family val="2"/>
    </font>
    <font>
      <b/>
      <sz val="10"/>
      <color indexed="17"/>
      <name val="Arial"/>
      <family val="2"/>
    </font>
    <font>
      <sz val="10"/>
      <color indexed="8"/>
      <name val="Times New Roman"/>
      <family val="1"/>
    </font>
    <font>
      <i/>
      <sz val="10"/>
      <name val="Arial"/>
      <family val="2"/>
    </font>
    <font>
      <b/>
      <i/>
      <sz val="10"/>
      <name val="Arial"/>
      <family val="2"/>
    </font>
    <font>
      <sz val="9"/>
      <color indexed="81"/>
      <name val="Tahoma"/>
      <family val="2"/>
    </font>
    <font>
      <b/>
      <sz val="10"/>
      <name val="Arial"/>
    </font>
  </fonts>
  <fills count="10">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17"/>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indexed="51"/>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9"/>
      </left>
      <right style="thin">
        <color indexed="9"/>
      </right>
      <top style="thin">
        <color indexed="64"/>
      </top>
      <bottom/>
      <diagonal/>
    </border>
    <border>
      <left/>
      <right/>
      <top style="thin">
        <color indexed="64"/>
      </top>
      <bottom style="thin">
        <color indexed="64"/>
      </bottom>
      <diagonal/>
    </border>
    <border>
      <left/>
      <right style="medium">
        <color indexed="8"/>
      </right>
      <top/>
      <bottom/>
      <diagonal/>
    </border>
    <border>
      <left/>
      <right style="thin">
        <color indexed="9"/>
      </right>
      <top/>
      <bottom/>
      <diagonal/>
    </border>
    <border>
      <left style="thin">
        <color indexed="9"/>
      </left>
      <right style="thin">
        <color indexed="9"/>
      </right>
      <top/>
      <bottom/>
      <diagonal/>
    </border>
    <border>
      <left style="thick">
        <color rgb="FFFF0000"/>
      </left>
      <right/>
      <top style="thin">
        <color indexed="64"/>
      </top>
      <bottom style="thin">
        <color indexed="64"/>
      </bottom>
      <diagonal/>
    </border>
    <border>
      <left style="thin">
        <color indexed="9"/>
      </left>
      <right/>
      <top/>
      <bottom/>
      <diagonal/>
    </border>
    <border>
      <left style="thick">
        <color rgb="FFFF0000"/>
      </left>
      <right/>
      <top style="thin">
        <color indexed="64"/>
      </top>
      <bottom/>
      <diagonal/>
    </border>
    <border>
      <left/>
      <right style="thin">
        <color indexed="9"/>
      </right>
      <top style="thin">
        <color indexed="64"/>
      </top>
      <bottom/>
      <diagonal/>
    </border>
    <border>
      <left style="medium">
        <color rgb="FFFF0000"/>
      </left>
      <right/>
      <top/>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right style="thin">
        <color rgb="FFABABAB"/>
      </right>
      <top style="thin">
        <color rgb="FFABABAB"/>
      </top>
      <bottom/>
      <diagonal/>
    </border>
    <border>
      <left style="thin">
        <color rgb="FFABABAB"/>
      </left>
      <right/>
      <top/>
      <bottom/>
      <diagonal/>
    </border>
    <border>
      <left/>
      <right style="thin">
        <color rgb="FFABABAB"/>
      </right>
      <top/>
      <bottom/>
      <diagonal/>
    </border>
    <border>
      <left style="thin">
        <color rgb="FFABABAB"/>
      </left>
      <right/>
      <top style="thin">
        <color rgb="FFABABAB"/>
      </top>
      <bottom style="thin">
        <color rgb="FFABABAB"/>
      </bottom>
      <diagonal/>
    </border>
    <border>
      <left/>
      <right/>
      <top style="thin">
        <color rgb="FFABABAB"/>
      </top>
      <bottom style="thin">
        <color rgb="FFABABAB"/>
      </bottom>
      <diagonal/>
    </border>
    <border>
      <left/>
      <right style="thin">
        <color rgb="FFABABAB"/>
      </right>
      <top style="thin">
        <color rgb="FFABABAB"/>
      </top>
      <bottom style="thin">
        <color rgb="FFABABAB"/>
      </bottom>
      <diagonal/>
    </border>
    <border>
      <left style="thin">
        <color rgb="FFABABAB"/>
      </left>
      <right style="thin">
        <color rgb="FFABABAB"/>
      </right>
      <top style="thin">
        <color rgb="FFABABAB"/>
      </top>
      <bottom/>
      <diagonal/>
    </border>
    <border>
      <left style="thin">
        <color rgb="FFABABAB"/>
      </left>
      <right/>
      <top style="thin">
        <color indexed="65"/>
      </top>
      <bottom/>
      <diagonal/>
    </border>
    <border>
      <left style="thin">
        <color rgb="FFABABAB"/>
      </left>
      <right style="thin">
        <color rgb="FFABABAB"/>
      </right>
      <top/>
      <bottom/>
      <diagonal/>
    </border>
    <border>
      <left style="thin">
        <color indexed="65"/>
      </left>
      <right/>
      <top style="thin">
        <color rgb="FFABABAB"/>
      </top>
      <bottom style="thin">
        <color rgb="FFABABAB"/>
      </bottom>
      <diagonal/>
    </border>
    <border>
      <left style="thin">
        <color rgb="FFABABAB"/>
      </left>
      <right style="thin">
        <color rgb="FFABABAB"/>
      </right>
      <top style="thin">
        <color rgb="FFABABAB"/>
      </top>
      <bottom style="thin">
        <color rgb="FFABABAB"/>
      </bottom>
      <diagonal/>
    </border>
  </borders>
  <cellStyleXfs count="8">
    <xf numFmtId="0" fontId="0" fillId="0" borderId="0"/>
    <xf numFmtId="44"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0" fontId="7" fillId="0" borderId="0"/>
    <xf numFmtId="9" fontId="1" fillId="0" borderId="0" applyFont="0" applyFill="0" applyBorder="0" applyAlignment="0" applyProtection="0"/>
    <xf numFmtId="0" fontId="1" fillId="0" borderId="0"/>
    <xf numFmtId="0" fontId="1" fillId="0" borderId="0"/>
  </cellStyleXfs>
  <cellXfs count="136">
    <xf numFmtId="0" fontId="0" fillId="0" borderId="0" xfId="0"/>
    <xf numFmtId="0" fontId="0" fillId="0" borderId="0" xfId="0" applyBorder="1"/>
    <xf numFmtId="0" fontId="3" fillId="2" borderId="0" xfId="0" applyFont="1" applyFill="1" applyAlignment="1" applyProtection="1">
      <alignment vertical="top" wrapText="1"/>
      <protection locked="0"/>
    </xf>
    <xf numFmtId="0" fontId="0" fillId="0" borderId="0" xfId="0" applyFill="1" applyBorder="1"/>
    <xf numFmtId="0" fontId="6" fillId="0" borderId="0" xfId="0" applyFont="1"/>
    <xf numFmtId="0" fontId="6" fillId="0" borderId="0" xfId="0" applyFont="1" applyFill="1"/>
    <xf numFmtId="166" fontId="0" fillId="0" borderId="0" xfId="0" applyNumberFormat="1"/>
    <xf numFmtId="0" fontId="15" fillId="0" borderId="0" xfId="0" applyFont="1"/>
    <xf numFmtId="0" fontId="0" fillId="0" borderId="0" xfId="0" applyFill="1"/>
    <xf numFmtId="3" fontId="0" fillId="0" borderId="0" xfId="3" applyNumberFormat="1" applyFont="1" applyFill="1" applyBorder="1" applyProtection="1">
      <protection locked="0"/>
    </xf>
    <xf numFmtId="0" fontId="0" fillId="0" borderId="0" xfId="0" quotePrefix="1"/>
    <xf numFmtId="0" fontId="16" fillId="0" borderId="0" xfId="0" applyFont="1"/>
    <xf numFmtId="0" fontId="0" fillId="0" borderId="1" xfId="0" applyBorder="1"/>
    <xf numFmtId="0" fontId="0" fillId="0" borderId="1" xfId="0" pivotButton="1" applyBorder="1" applyAlignment="1">
      <alignment vertical="center"/>
    </xf>
    <xf numFmtId="166" fontId="0" fillId="0" borderId="1" xfId="0" applyNumberFormat="1" applyBorder="1"/>
    <xf numFmtId="9" fontId="0" fillId="0" borderId="0" xfId="5" applyFont="1"/>
    <xf numFmtId="0" fontId="0" fillId="0" borderId="0" xfId="0" applyProtection="1">
      <protection locked="0"/>
    </xf>
    <xf numFmtId="2" fontId="0" fillId="0" borderId="0" xfId="0" applyNumberFormat="1" applyBorder="1"/>
    <xf numFmtId="0" fontId="6" fillId="0" borderId="0" xfId="0" applyFont="1" applyProtection="1"/>
    <xf numFmtId="0" fontId="0" fillId="0" borderId="0" xfId="0" applyProtection="1"/>
    <xf numFmtId="0" fontId="0" fillId="0" borderId="0" xfId="0" applyAlignment="1" applyProtection="1">
      <alignment horizontal="center"/>
    </xf>
    <xf numFmtId="0" fontId="6" fillId="0" borderId="0" xfId="0" applyFont="1" applyAlignment="1" applyProtection="1">
      <alignment horizontal="left"/>
    </xf>
    <xf numFmtId="0" fontId="7" fillId="0" borderId="0" xfId="0" applyFont="1" applyProtection="1"/>
    <xf numFmtId="0" fontId="7" fillId="0" borderId="0" xfId="0" applyFont="1" applyAlignment="1" applyProtection="1">
      <alignment horizontal="center"/>
    </xf>
    <xf numFmtId="0" fontId="0" fillId="0" borderId="0" xfId="0" applyFill="1" applyProtection="1"/>
    <xf numFmtId="0" fontId="8" fillId="4" borderId="0" xfId="0" applyFont="1" applyFill="1" applyAlignment="1" applyProtection="1">
      <alignment vertical="top" wrapText="1"/>
    </xf>
    <xf numFmtId="3" fontId="13" fillId="3" borderId="6" xfId="0" applyNumberFormat="1" applyFont="1" applyFill="1" applyBorder="1" applyProtection="1"/>
    <xf numFmtId="3" fontId="11" fillId="3" borderId="6" xfId="0" applyNumberFormat="1" applyFont="1" applyFill="1" applyBorder="1" applyProtection="1"/>
    <xf numFmtId="0" fontId="12" fillId="0" borderId="5" xfId="0" applyFont="1" applyBorder="1" applyAlignment="1" applyProtection="1">
      <alignment horizontal="center" wrapText="1"/>
    </xf>
    <xf numFmtId="0" fontId="9" fillId="0" borderId="8" xfId="0" applyFont="1" applyFill="1" applyBorder="1" applyAlignment="1" applyProtection="1">
      <alignment horizontal="center"/>
    </xf>
    <xf numFmtId="0" fontId="0" fillId="3" borderId="0" xfId="0" applyFill="1" applyBorder="1" applyProtection="1">
      <protection locked="0"/>
    </xf>
    <xf numFmtId="14" fontId="0" fillId="3" borderId="0" xfId="0" applyNumberFormat="1" applyFill="1" applyBorder="1" applyProtection="1">
      <protection locked="0"/>
    </xf>
    <xf numFmtId="0" fontId="0" fillId="0" borderId="0" xfId="0" applyFill="1" applyBorder="1" applyProtection="1">
      <protection locked="0"/>
    </xf>
    <xf numFmtId="14" fontId="0" fillId="0" borderId="0" xfId="0" applyNumberFormat="1" applyFill="1" applyBorder="1" applyProtection="1">
      <protection locked="0"/>
    </xf>
    <xf numFmtId="0" fontId="15" fillId="3" borderId="0" xfId="0" applyFont="1" applyFill="1" applyBorder="1" applyProtection="1">
      <protection locked="0"/>
    </xf>
    <xf numFmtId="0" fontId="6" fillId="0" borderId="0" xfId="0" applyFont="1" applyFill="1" applyBorder="1" applyAlignment="1" applyProtection="1">
      <alignment horizontal="center" wrapText="1"/>
    </xf>
    <xf numFmtId="0" fontId="0" fillId="0" borderId="2" xfId="0" applyBorder="1" applyAlignment="1">
      <alignment vertical="top" wrapText="1"/>
    </xf>
    <xf numFmtId="0" fontId="0" fillId="0" borderId="1" xfId="0" applyBorder="1" applyAlignment="1">
      <alignment vertical="top" wrapText="1"/>
    </xf>
    <xf numFmtId="1" fontId="0" fillId="0" borderId="1" xfId="0" applyNumberFormat="1" applyBorder="1" applyAlignment="1">
      <alignment vertical="top" wrapText="1"/>
    </xf>
    <xf numFmtId="0" fontId="3" fillId="2" borderId="12" xfId="0" applyFont="1" applyFill="1" applyBorder="1" applyAlignment="1" applyProtection="1">
      <alignment horizontal="center" vertical="top" textRotation="90" wrapText="1"/>
    </xf>
    <xf numFmtId="0" fontId="3" fillId="2" borderId="13" xfId="0" applyFont="1" applyFill="1" applyBorder="1" applyAlignment="1" applyProtection="1">
      <alignment horizontal="center" vertical="top" textRotation="90" wrapText="1"/>
    </xf>
    <xf numFmtId="0" fontId="8" fillId="2" borderId="13" xfId="0" applyFont="1" applyFill="1" applyBorder="1" applyAlignment="1" applyProtection="1">
      <alignment horizontal="center" vertical="top" textRotation="90" wrapText="1"/>
    </xf>
    <xf numFmtId="0" fontId="3" fillId="4" borderId="13" xfId="0" applyFont="1" applyFill="1" applyBorder="1" applyAlignment="1" applyProtection="1">
      <alignment horizontal="center" vertical="top" textRotation="90" wrapText="1"/>
    </xf>
    <xf numFmtId="0" fontId="7" fillId="0" borderId="7" xfId="5" applyNumberFormat="1" applyFont="1" applyFill="1" applyBorder="1" applyAlignment="1" applyProtection="1">
      <alignment horizontal="center"/>
      <protection locked="0"/>
    </xf>
    <xf numFmtId="0" fontId="9" fillId="0" borderId="7" xfId="0" applyFont="1" applyFill="1" applyBorder="1" applyAlignment="1" applyProtection="1">
      <alignment horizontal="center"/>
    </xf>
    <xf numFmtId="0" fontId="3" fillId="6" borderId="0" xfId="0" applyFont="1" applyFill="1" applyBorder="1" applyAlignment="1" applyProtection="1">
      <alignment horizontal="center" vertical="top" textRotation="90" wrapText="1"/>
    </xf>
    <xf numFmtId="3" fontId="6" fillId="6" borderId="6" xfId="0" applyNumberFormat="1" applyFont="1" applyFill="1" applyBorder="1" applyProtection="1"/>
    <xf numFmtId="3" fontId="1" fillId="6" borderId="6" xfId="0" applyNumberFormat="1" applyFont="1" applyFill="1" applyBorder="1" applyProtection="1"/>
    <xf numFmtId="167" fontId="0" fillId="0" borderId="0" xfId="0" applyNumberFormat="1"/>
    <xf numFmtId="0" fontId="0" fillId="5" borderId="0" xfId="0" applyFill="1" applyProtection="1"/>
    <xf numFmtId="0" fontId="1" fillId="5" borderId="0" xfId="0" applyFont="1" applyFill="1" applyProtection="1"/>
    <xf numFmtId="0" fontId="0" fillId="5" borderId="0" xfId="0" applyFill="1" applyAlignment="1" applyProtection="1">
      <alignment horizontal="center"/>
    </xf>
    <xf numFmtId="0" fontId="7" fillId="5" borderId="0" xfId="0" applyFont="1" applyFill="1" applyAlignment="1" applyProtection="1">
      <alignment horizontal="center"/>
    </xf>
    <xf numFmtId="0" fontId="1" fillId="5" borderId="0" xfId="0" applyFont="1" applyFill="1" applyAlignment="1" applyProtection="1">
      <alignment horizontal="center"/>
    </xf>
    <xf numFmtId="0" fontId="1" fillId="7" borderId="14" xfId="0" applyFont="1" applyFill="1" applyBorder="1" applyAlignment="1" applyProtection="1">
      <alignment horizontal="left"/>
    </xf>
    <xf numFmtId="0" fontId="0" fillId="7" borderId="0" xfId="0" applyFill="1" applyAlignment="1" applyProtection="1">
      <alignment horizontal="center"/>
    </xf>
    <xf numFmtId="0" fontId="1" fillId="7" borderId="10" xfId="0" applyFont="1" applyFill="1" applyBorder="1" applyAlignment="1" applyProtection="1">
      <alignment horizontal="left"/>
    </xf>
    <xf numFmtId="0" fontId="3" fillId="4" borderId="15" xfId="0" applyFont="1" applyFill="1" applyBorder="1" applyAlignment="1" applyProtection="1">
      <alignment horizontal="center" vertical="top" textRotation="90" wrapText="1"/>
    </xf>
    <xf numFmtId="0" fontId="3" fillId="6" borderId="9" xfId="0" applyFont="1" applyFill="1" applyBorder="1" applyAlignment="1" applyProtection="1">
      <alignment horizontal="center" vertical="top" textRotation="90" wrapText="1"/>
    </xf>
    <xf numFmtId="0" fontId="1" fillId="0" borderId="0" xfId="0" applyFont="1"/>
    <xf numFmtId="0" fontId="1" fillId="8" borderId="0" xfId="0" applyFont="1" applyFill="1" applyAlignment="1" applyProtection="1">
      <alignment vertical="top" wrapText="1"/>
      <protection locked="0"/>
    </xf>
    <xf numFmtId="0" fontId="3" fillId="9" borderId="0" xfId="0" applyFont="1" applyFill="1" applyAlignment="1" applyProtection="1">
      <alignment vertical="top" wrapText="1"/>
      <protection locked="0"/>
    </xf>
    <xf numFmtId="0" fontId="3" fillId="6" borderId="16" xfId="0" applyFont="1" applyFill="1" applyBorder="1" applyAlignment="1" applyProtection="1">
      <alignment horizontal="center" vertical="top" textRotation="90" wrapText="1"/>
    </xf>
    <xf numFmtId="0" fontId="3" fillId="6" borderId="17" xfId="0" applyFont="1" applyFill="1" applyBorder="1" applyAlignment="1" applyProtection="1">
      <alignment horizontal="center" vertical="top" textRotation="90" wrapText="1"/>
    </xf>
    <xf numFmtId="0" fontId="7" fillId="0" borderId="0" xfId="5" applyNumberFormat="1" applyFont="1" applyFill="1" applyBorder="1" applyAlignment="1" applyProtection="1">
      <alignment horizontal="center"/>
      <protection locked="0"/>
    </xf>
    <xf numFmtId="3" fontId="1" fillId="0" borderId="7" xfId="0" applyNumberFormat="1" applyFont="1" applyFill="1" applyBorder="1" applyProtection="1">
      <protection locked="0"/>
    </xf>
    <xf numFmtId="0" fontId="1" fillId="0" borderId="2" xfId="0" applyFont="1" applyFill="1" applyBorder="1" applyProtection="1">
      <protection locked="0"/>
    </xf>
    <xf numFmtId="0" fontId="1" fillId="0" borderId="8" xfId="0" applyFont="1" applyFill="1" applyBorder="1" applyProtection="1">
      <protection locked="0"/>
    </xf>
    <xf numFmtId="0" fontId="1" fillId="0" borderId="8" xfId="0" applyFont="1" applyFill="1" applyBorder="1" applyAlignment="1" applyProtection="1">
      <alignment horizontal="center"/>
      <protection locked="0"/>
    </xf>
    <xf numFmtId="0" fontId="1" fillId="0" borderId="11" xfId="0" applyFont="1" applyBorder="1" applyProtection="1">
      <protection locked="0"/>
    </xf>
    <xf numFmtId="1" fontId="1" fillId="0" borderId="0" xfId="0" applyNumberFormat="1" applyFont="1" applyFill="1" applyBorder="1" applyProtection="1">
      <protection locked="0"/>
    </xf>
    <xf numFmtId="0" fontId="3" fillId="6" borderId="3" xfId="0" applyFont="1" applyFill="1" applyBorder="1" applyAlignment="1" applyProtection="1">
      <alignment horizontal="center" vertical="top" textRotation="90" wrapText="1"/>
    </xf>
    <xf numFmtId="0" fontId="1" fillId="0" borderId="7" xfId="5" applyNumberFormat="1" applyFont="1" applyFill="1" applyBorder="1" applyAlignment="1" applyProtection="1">
      <alignment horizontal="center"/>
      <protection locked="0"/>
    </xf>
    <xf numFmtId="3" fontId="0" fillId="0" borderId="0" xfId="0" applyNumberFormat="1"/>
    <xf numFmtId="0" fontId="1" fillId="0" borderId="7" xfId="0" applyFont="1" applyFill="1" applyBorder="1" applyAlignment="1" applyProtection="1">
      <alignment horizontal="center"/>
      <protection locked="0"/>
    </xf>
    <xf numFmtId="1" fontId="1" fillId="0" borderId="2" xfId="0" applyNumberFormat="1" applyFont="1" applyFill="1" applyBorder="1" applyProtection="1">
      <protection locked="0"/>
    </xf>
    <xf numFmtId="0" fontId="1" fillId="0" borderId="0" xfId="5" applyNumberFormat="1" applyFont="1" applyFill="1" applyBorder="1" applyAlignment="1" applyProtection="1">
      <alignment horizontal="center"/>
      <protection locked="0"/>
    </xf>
    <xf numFmtId="0" fontId="1" fillId="0" borderId="0" xfId="0" applyFont="1" applyBorder="1" applyProtection="1">
      <protection locked="0"/>
    </xf>
    <xf numFmtId="0" fontId="1" fillId="0" borderId="2" xfId="0" applyFont="1" applyBorder="1" applyProtection="1">
      <protection locked="0"/>
    </xf>
    <xf numFmtId="1" fontId="1" fillId="0" borderId="7" xfId="0" applyNumberFormat="1" applyFont="1" applyFill="1" applyBorder="1" applyProtection="1">
      <protection locked="0"/>
    </xf>
    <xf numFmtId="3" fontId="13" fillId="0" borderId="0" xfId="0" applyNumberFormat="1" applyFont="1" applyFill="1" applyBorder="1" applyProtection="1"/>
    <xf numFmtId="3" fontId="11" fillId="0" borderId="5" xfId="0" applyNumberFormat="1" applyFont="1" applyFill="1" applyBorder="1" applyProtection="1"/>
    <xf numFmtId="0" fontId="7" fillId="0" borderId="0" xfId="0" applyFont="1" applyFill="1" applyBorder="1" applyAlignment="1" applyProtection="1">
      <alignment horizontal="center"/>
    </xf>
    <xf numFmtId="0" fontId="7" fillId="0" borderId="4" xfId="0" applyFont="1" applyFill="1" applyBorder="1" applyProtection="1"/>
    <xf numFmtId="0" fontId="7" fillId="0" borderId="5" xfId="0" applyFont="1" applyFill="1" applyBorder="1" applyProtection="1"/>
    <xf numFmtId="0" fontId="7" fillId="0" borderId="5" xfId="0" applyFont="1" applyFill="1" applyBorder="1" applyAlignment="1" applyProtection="1">
      <alignment horizontal="center"/>
    </xf>
    <xf numFmtId="0" fontId="6" fillId="0" borderId="0" xfId="0" applyFont="1" applyBorder="1" applyProtection="1"/>
    <xf numFmtId="0" fontId="0" fillId="0" borderId="0" xfId="0" applyBorder="1" applyProtection="1"/>
    <xf numFmtId="0" fontId="0" fillId="0" borderId="0" xfId="0" applyBorder="1" applyAlignment="1" applyProtection="1">
      <alignment horizontal="center"/>
    </xf>
    <xf numFmtId="14" fontId="6" fillId="0" borderId="0" xfId="0" applyNumberFormat="1" applyFont="1" applyBorder="1" applyAlignment="1" applyProtection="1">
      <alignment horizontal="left"/>
    </xf>
    <xf numFmtId="0" fontId="7" fillId="0" borderId="0" xfId="0" applyFont="1" applyFill="1" applyBorder="1" applyProtection="1"/>
    <xf numFmtId="0" fontId="1" fillId="0" borderId="18" xfId="0" applyNumberFormat="1" applyFont="1" applyFill="1" applyBorder="1" applyAlignment="1" applyProtection="1">
      <alignment horizontal="center"/>
      <protection locked="0"/>
    </xf>
    <xf numFmtId="166" fontId="18" fillId="0" borderId="1" xfId="0" applyNumberFormat="1" applyFont="1" applyFill="1" applyBorder="1"/>
    <xf numFmtId="0" fontId="18" fillId="0" borderId="1" xfId="0" applyFont="1" applyFill="1" applyBorder="1"/>
    <xf numFmtId="0" fontId="10" fillId="0" borderId="0" xfId="0" applyFont="1" applyFill="1" applyBorder="1" applyAlignment="1" applyProtection="1">
      <alignment horizontal="right" vertical="top" wrapText="1"/>
    </xf>
    <xf numFmtId="0" fontId="0" fillId="0" borderId="0" xfId="0" applyFill="1" applyBorder="1" applyAlignment="1">
      <alignment horizontal="right"/>
    </xf>
    <xf numFmtId="0" fontId="0" fillId="0" borderId="19" xfId="0" applyBorder="1"/>
    <xf numFmtId="0" fontId="0" fillId="0" borderId="19" xfId="0" pivotButton="1" applyBorder="1"/>
    <xf numFmtId="0" fontId="0" fillId="0" borderId="20" xfId="0" applyBorder="1"/>
    <xf numFmtId="0" fontId="0" fillId="0" borderId="21" xfId="0" applyBorder="1"/>
    <xf numFmtId="0" fontId="0" fillId="0" borderId="22" xfId="0" applyBorder="1"/>
    <xf numFmtId="0" fontId="0" fillId="0" borderId="24" xfId="0" applyBorder="1"/>
    <xf numFmtId="0" fontId="18" fillId="0" borderId="26" xfId="0" applyFont="1" applyFill="1" applyBorder="1"/>
    <xf numFmtId="166" fontId="0" fillId="0" borderId="19" xfId="0" applyNumberFormat="1" applyBorder="1"/>
    <xf numFmtId="166" fontId="0" fillId="0" borderId="22" xfId="0" applyNumberFormat="1" applyBorder="1"/>
    <xf numFmtId="166" fontId="0" fillId="0" borderId="23" xfId="0" applyNumberFormat="1" applyBorder="1"/>
    <xf numFmtId="166" fontId="0" fillId="0" borderId="24" xfId="0" applyNumberFormat="1" applyBorder="1"/>
    <xf numFmtId="166" fontId="18" fillId="0" borderId="26" xfId="0" applyNumberFormat="1" applyFont="1" applyFill="1" applyBorder="1"/>
    <xf numFmtId="166" fontId="18" fillId="0" borderId="27" xfId="0" applyNumberFormat="1" applyFont="1" applyFill="1" applyBorder="1"/>
    <xf numFmtId="166" fontId="18" fillId="0" borderId="28" xfId="0" applyNumberFormat="1" applyFont="1" applyFill="1" applyBorder="1"/>
    <xf numFmtId="0" fontId="0" fillId="0" borderId="19" xfId="0" applyBorder="1" applyAlignment="1">
      <alignment wrapText="1"/>
    </xf>
    <xf numFmtId="0" fontId="0" fillId="0" borderId="19" xfId="0" pivotButton="1" applyBorder="1" applyAlignment="1">
      <alignment vertical="center"/>
    </xf>
    <xf numFmtId="0" fontId="0" fillId="0" borderId="22" xfId="0" applyBorder="1" applyAlignment="1">
      <alignment wrapText="1"/>
    </xf>
    <xf numFmtId="0" fontId="0" fillId="0" borderId="23" xfId="0" applyBorder="1" applyAlignment="1">
      <alignment wrapText="1"/>
    </xf>
    <xf numFmtId="0" fontId="0" fillId="0" borderId="29" xfId="0" applyBorder="1"/>
    <xf numFmtId="0" fontId="0" fillId="0" borderId="30" xfId="0" applyBorder="1"/>
    <xf numFmtId="0" fontId="18" fillId="0" borderId="32" xfId="0" applyFont="1" applyFill="1" applyBorder="1"/>
    <xf numFmtId="166" fontId="0" fillId="0" borderId="29" xfId="0" applyNumberFormat="1" applyBorder="1"/>
    <xf numFmtId="166" fontId="0" fillId="0" borderId="31" xfId="0" applyNumberFormat="1" applyBorder="1"/>
    <xf numFmtId="166" fontId="18" fillId="0" borderId="33" xfId="0" applyNumberFormat="1" applyFont="1" applyFill="1" applyBorder="1"/>
    <xf numFmtId="0" fontId="0" fillId="0" borderId="19" xfId="0" pivotButton="1" applyBorder="1" applyAlignment="1">
      <alignment wrapText="1"/>
    </xf>
    <xf numFmtId="0" fontId="0" fillId="0" borderId="20" xfId="0" applyBorder="1" applyAlignment="1">
      <alignment wrapText="1"/>
    </xf>
    <xf numFmtId="0" fontId="18" fillId="0" borderId="19" xfId="0" applyFont="1" applyBorder="1"/>
    <xf numFmtId="0" fontId="18" fillId="0" borderId="20" xfId="0" applyFont="1" applyBorder="1"/>
    <xf numFmtId="166" fontId="18" fillId="0" borderId="29" xfId="0" applyNumberFormat="1" applyFont="1" applyBorder="1"/>
    <xf numFmtId="0" fontId="0" fillId="0" borderId="19"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167" fontId="0" fillId="0" borderId="19" xfId="0" applyNumberFormat="1" applyBorder="1"/>
    <xf numFmtId="167" fontId="0" fillId="0" borderId="22" xfId="0" applyNumberFormat="1" applyBorder="1"/>
    <xf numFmtId="167" fontId="0" fillId="0" borderId="23" xfId="0" applyNumberFormat="1" applyBorder="1"/>
    <xf numFmtId="167" fontId="0" fillId="0" borderId="24" xfId="0" applyNumberFormat="1" applyBorder="1"/>
    <xf numFmtId="167" fontId="0" fillId="0" borderId="25" xfId="0" applyNumberFormat="1" applyBorder="1"/>
    <xf numFmtId="167" fontId="18" fillId="0" borderId="26" xfId="0" applyNumberFormat="1" applyFont="1" applyFill="1" applyBorder="1"/>
    <xf numFmtId="167" fontId="18" fillId="0" borderId="27" xfId="0" applyNumberFormat="1" applyFont="1" applyFill="1" applyBorder="1"/>
    <xf numFmtId="167" fontId="18" fillId="0" borderId="28" xfId="0" applyNumberFormat="1" applyFont="1" applyFill="1" applyBorder="1"/>
  </cellXfs>
  <cellStyles count="8">
    <cellStyle name="Euro" xfId="1"/>
    <cellStyle name="Euro 2" xfId="2"/>
    <cellStyle name="Milliers" xfId="3" builtinId="3"/>
    <cellStyle name="Normal" xfId="0" builtinId="0"/>
    <cellStyle name="Normal 2" xfId="4"/>
    <cellStyle name="Normal 2 2" xfId="6"/>
    <cellStyle name="Normal 3" xfId="7"/>
    <cellStyle name="Pourcentage" xfId="5" builtinId="5"/>
  </cellStyles>
  <dxfs count="217">
    <dxf>
      <fill>
        <patternFill patternType="solid">
          <bgColor indexed="41"/>
        </patternFill>
      </fill>
    </dxf>
    <dxf>
      <fill>
        <patternFill patternType="solid">
          <bgColor indexed="41"/>
        </patternFill>
      </fill>
    </dxf>
    <dxf>
      <font>
        <b/>
      </font>
    </dxf>
    <dxf>
      <font>
        <b/>
      </font>
    </dxf>
    <dxf>
      <fill>
        <patternFill patternType="none"/>
      </fill>
    </dxf>
    <dxf>
      <fill>
        <patternFill patternType="none"/>
      </fill>
    </dxf>
    <dxf>
      <numFmt numFmtId="166" formatCode="#,##0;\-#,##0;&quot;&quot;"/>
    </dxf>
    <dxf>
      <alignment wrapText="1" readingOrder="0"/>
    </dxf>
    <dxf>
      <fill>
        <patternFill patternType="solid">
          <bgColor indexed="41"/>
        </patternFill>
      </fill>
    </dxf>
    <dxf>
      <fill>
        <patternFill patternType="solid">
          <bgColor indexed="41"/>
        </patternFill>
      </fill>
    </dxf>
    <dxf>
      <font>
        <b/>
      </font>
    </dxf>
    <dxf>
      <font>
        <b/>
      </font>
    </dxf>
    <dxf>
      <fill>
        <patternFill patternType="none"/>
      </fill>
    </dxf>
    <dxf>
      <fill>
        <patternFill patternType="none"/>
      </fill>
    </dxf>
    <dxf>
      <numFmt numFmtId="166" formatCode="#,##0;\-#,##0;&quot;&quot;"/>
    </dxf>
    <dxf>
      <alignment wrapText="1" readingOrder="0"/>
    </dxf>
    <dxf>
      <fill>
        <patternFill patternType="solid">
          <bgColor indexed="41"/>
        </patternFill>
      </fill>
    </dxf>
    <dxf>
      <fill>
        <patternFill patternType="solid">
          <bgColor indexed="41"/>
        </patternFill>
      </fill>
    </dxf>
    <dxf>
      <font>
        <b/>
      </font>
    </dxf>
    <dxf>
      <font>
        <b/>
      </font>
    </dxf>
    <dxf>
      <fill>
        <patternFill patternType="none"/>
      </fill>
    </dxf>
    <dxf>
      <fill>
        <patternFill patternType="none"/>
      </fill>
    </dxf>
    <dxf>
      <alignment wrapText="1" readingOrder="0"/>
    </dxf>
    <dxf>
      <alignment vertical="center" readingOrder="0"/>
    </dxf>
    <dxf>
      <alignment vertical="center" readingOrder="0"/>
    </dxf>
    <dxf>
      <alignment vertical="center" readingOrder="0"/>
    </dxf>
    <dxf>
      <alignment horizontal="center" readingOrder="0"/>
    </dxf>
    <dxf>
      <numFmt numFmtId="167" formatCode="#,##0.0;\-#,##0.0;&quot;&quot;"/>
    </dxf>
    <dxf>
      <alignment wrapText="1" readingOrder="0"/>
    </dxf>
    <dxf>
      <alignment wrapText="1" readingOrder="0"/>
    </dxf>
    <dxf>
      <alignment wrapText="1" readingOrder="0"/>
    </dxf>
    <dxf>
      <fill>
        <patternFill patternType="solid">
          <bgColor indexed="41"/>
        </patternFill>
      </fill>
    </dxf>
    <dxf>
      <fill>
        <patternFill patternType="solid">
          <bgColor indexed="41"/>
        </patternFill>
      </fill>
    </dxf>
    <dxf>
      <font>
        <b/>
      </font>
    </dxf>
    <dxf>
      <font>
        <b/>
      </font>
    </dxf>
    <dxf>
      <fill>
        <patternFill patternType="none"/>
      </fill>
    </dxf>
    <dxf>
      <fill>
        <patternFill patternType="none"/>
      </fill>
    </dxf>
    <dxf>
      <numFmt numFmtId="166" formatCode="#,##0;\-#,##0;&quot;&quot;"/>
    </dxf>
    <dxf>
      <alignment wrapText="1" readingOrder="0"/>
    </dxf>
    <dxf>
      <alignment vertical="center" readingOrder="0"/>
    </dxf>
    <dxf>
      <fill>
        <patternFill>
          <bgColor indexed="65"/>
        </patternFill>
      </fill>
    </dxf>
    <dxf>
      <font>
        <b/>
      </font>
    </dxf>
    <dxf>
      <fill>
        <patternFill patternType="solid">
          <bgColor indexed="41"/>
        </patternFill>
      </fill>
    </dxf>
    <dxf>
      <fill>
        <patternFill patternType="solid">
          <bgColor indexed="41"/>
        </patternFill>
      </fill>
    </dxf>
    <dxf>
      <font>
        <b/>
      </font>
    </dxf>
    <dxf>
      <font>
        <b/>
      </font>
    </dxf>
    <dxf>
      <fill>
        <patternFill patternType="none"/>
      </fill>
    </dxf>
    <dxf>
      <fill>
        <patternFill patternType="none"/>
      </fill>
    </dxf>
    <dxf>
      <numFmt numFmtId="166" formatCode="#,##0;\-#,##0;&quot;&quot;"/>
    </dxf>
    <dxf>
      <alignment wrapText="1" readingOrder="0"/>
    </dxf>
    <dxf>
      <alignment vertical="center" readingOrder="0"/>
    </dxf>
    <dxf>
      <fill>
        <patternFill patternType="solid">
          <bgColor indexed="41"/>
        </patternFill>
      </fill>
    </dxf>
    <dxf>
      <fill>
        <patternFill patternType="solid">
          <bgColor indexed="41"/>
        </patternFill>
      </fill>
    </dxf>
    <dxf>
      <font>
        <b/>
      </font>
    </dxf>
    <dxf>
      <font>
        <b/>
      </font>
    </dxf>
    <dxf>
      <fill>
        <patternFill patternType="none"/>
      </fill>
    </dxf>
    <dxf>
      <fill>
        <patternFill patternType="none"/>
      </fill>
    </dxf>
    <dxf>
      <numFmt numFmtId="166" formatCode="#,##0;\-#,##0;&quot;&quot;"/>
    </dxf>
    <dxf>
      <alignment wrapText="1" readingOrder="0"/>
    </dxf>
    <dxf>
      <alignment vertical="center" readingOrder="0"/>
    </dxf>
    <dxf>
      <alignment wrapText="1" readingOrder="0"/>
    </dxf>
    <dxf>
      <fill>
        <patternFill patternType="solid">
          <bgColor indexed="41"/>
        </patternFill>
      </fill>
    </dxf>
    <dxf>
      <fill>
        <patternFill patternType="solid">
          <bgColor indexed="41"/>
        </patternFill>
      </fill>
    </dxf>
    <dxf>
      <font>
        <b/>
      </font>
    </dxf>
    <dxf>
      <font>
        <b/>
      </font>
    </dxf>
    <dxf>
      <fill>
        <patternFill patternType="none"/>
      </fill>
    </dxf>
    <dxf>
      <fill>
        <patternFill patternType="none"/>
      </fill>
    </dxf>
    <dxf>
      <numFmt numFmtId="166" formatCode="#,##0;\-#,##0;&quot;&quot;"/>
    </dxf>
    <dxf>
      <alignment wrapText="1" readingOrder="0"/>
    </dxf>
    <dxf>
      <alignment vertical="center" readingOrder="0"/>
    </dxf>
    <dxf>
      <fill>
        <patternFill>
          <bgColor indexed="65"/>
        </patternFill>
      </fill>
    </dxf>
    <dxf>
      <fill>
        <patternFill patternType="solid">
          <bgColor indexed="41"/>
        </patternFill>
      </fill>
    </dxf>
    <dxf>
      <fill>
        <patternFill patternType="solid">
          <bgColor indexed="41"/>
        </patternFill>
      </fill>
    </dxf>
    <dxf>
      <font>
        <b/>
      </font>
    </dxf>
    <dxf>
      <font>
        <b/>
      </font>
    </dxf>
    <dxf>
      <fill>
        <patternFill patternType="none"/>
      </fill>
    </dxf>
    <dxf>
      <fill>
        <patternFill patternType="none"/>
      </fill>
    </dxf>
    <dxf>
      <numFmt numFmtId="166" formatCode="#,##0;\-#,##0;&quot;&quot;"/>
    </dxf>
    <dxf>
      <alignment wrapText="1" readingOrder="0"/>
    </dxf>
    <dxf>
      <alignment vertic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alignment wrapText="1" readingOrder="0"/>
    </dxf>
    <dxf>
      <alignment wrapText="1" readingOrder="0"/>
    </dxf>
    <dxf>
      <alignment wrapText="1" readingOrder="0"/>
    </dxf>
    <dxf>
      <numFmt numFmtId="166" formatCode="#,##0;\-#,##0;&quot;&quot;"/>
    </dxf>
    <dxf>
      <fill>
        <patternFill patternType="none"/>
      </fill>
    </dxf>
    <dxf>
      <fill>
        <patternFill patternType="none"/>
      </fill>
    </dxf>
    <dxf>
      <font>
        <b/>
      </font>
    </dxf>
    <dxf>
      <font>
        <b/>
      </font>
    </dxf>
    <dxf>
      <fill>
        <patternFill patternType="solid">
          <bgColor indexed="41"/>
        </patternFill>
      </fill>
    </dxf>
    <dxf>
      <fill>
        <patternFill patternType="solid">
          <bgColor indexed="41"/>
        </patternFill>
      </fill>
    </dxf>
    <dxf>
      <fill>
        <patternFill>
          <bgColor indexed="10"/>
        </patternFill>
      </fill>
    </dxf>
    <dxf>
      <alignment wrapText="1" readingOrder="0"/>
    </dxf>
    <dxf>
      <numFmt numFmtId="166" formatCode="#,##0;\-#,##0;&quot;&quot;"/>
    </dxf>
    <dxf>
      <fill>
        <patternFill patternType="none"/>
      </fill>
    </dxf>
    <dxf>
      <fill>
        <patternFill patternType="none"/>
      </fill>
    </dxf>
    <dxf>
      <font>
        <b/>
      </font>
    </dxf>
    <dxf>
      <font>
        <b/>
      </font>
    </dxf>
    <dxf>
      <fill>
        <patternFill patternType="solid">
          <bgColor indexed="41"/>
        </patternFill>
      </fill>
    </dxf>
    <dxf>
      <fill>
        <patternFill patternType="solid">
          <bgColor indexed="41"/>
        </patternFill>
      </fill>
    </dxf>
    <dxf>
      <fill>
        <patternFill>
          <bgColor indexed="10"/>
        </patternFill>
      </fill>
    </dxf>
    <dxf>
      <alignment wrapText="1" readingOrder="0"/>
    </dxf>
    <dxf>
      <alignment wrapText="1" readingOrder="0"/>
    </dxf>
    <dxf>
      <alignment wrapText="1" readingOrder="0"/>
    </dxf>
    <dxf>
      <numFmt numFmtId="167" formatCode="#,##0.0;\-#,##0.0;&quot;&quot;"/>
    </dxf>
    <dxf>
      <alignment horizontal="center" readingOrder="0"/>
    </dxf>
    <dxf>
      <alignment vertical="center" readingOrder="0"/>
    </dxf>
    <dxf>
      <alignment vertical="center" readingOrder="0"/>
    </dxf>
    <dxf>
      <alignment vertical="center" readingOrder="0"/>
    </dxf>
    <dxf>
      <alignment wrapText="1" readingOrder="0"/>
    </dxf>
    <dxf>
      <fill>
        <patternFill patternType="none"/>
      </fill>
    </dxf>
    <dxf>
      <fill>
        <patternFill patternType="none"/>
      </fill>
    </dxf>
    <dxf>
      <font>
        <b/>
      </font>
    </dxf>
    <dxf>
      <font>
        <b/>
      </font>
    </dxf>
    <dxf>
      <fill>
        <patternFill patternType="solid">
          <bgColor indexed="41"/>
        </patternFill>
      </fill>
    </dxf>
    <dxf>
      <fill>
        <patternFill patternType="solid">
          <bgColor indexed="41"/>
        </patternFill>
      </fill>
    </dxf>
    <dxf>
      <font>
        <b/>
      </font>
    </dxf>
    <dxf>
      <fill>
        <patternFill>
          <bgColor indexed="65"/>
        </patternFill>
      </fill>
    </dxf>
    <dxf>
      <alignment vertical="center" readingOrder="0"/>
    </dxf>
    <dxf>
      <alignment wrapText="1" readingOrder="0"/>
    </dxf>
    <dxf>
      <numFmt numFmtId="166" formatCode="#,##0;\-#,##0;&quot;&quot;"/>
    </dxf>
    <dxf>
      <fill>
        <patternFill patternType="none"/>
      </fill>
    </dxf>
    <dxf>
      <fill>
        <patternFill patternType="none"/>
      </fill>
    </dxf>
    <dxf>
      <font>
        <b/>
      </font>
    </dxf>
    <dxf>
      <font>
        <b/>
      </font>
    </dxf>
    <dxf>
      <fill>
        <patternFill patternType="solid">
          <bgColor indexed="41"/>
        </patternFill>
      </fill>
    </dxf>
    <dxf>
      <fill>
        <patternFill patternType="solid">
          <bgColor indexed="41"/>
        </patternFill>
      </fill>
    </dxf>
    <dxf>
      <alignment vertical="center" readingOrder="0"/>
    </dxf>
    <dxf>
      <alignment wrapText="1" readingOrder="0"/>
    </dxf>
    <dxf>
      <numFmt numFmtId="166" formatCode="#,##0;\-#,##0;&quot;&quot;"/>
    </dxf>
    <dxf>
      <fill>
        <patternFill patternType="none"/>
      </fill>
    </dxf>
    <dxf>
      <fill>
        <patternFill patternType="none"/>
      </fill>
    </dxf>
    <dxf>
      <font>
        <b/>
      </font>
    </dxf>
    <dxf>
      <font>
        <b/>
      </font>
    </dxf>
    <dxf>
      <fill>
        <patternFill patternType="solid">
          <bgColor indexed="41"/>
        </patternFill>
      </fill>
    </dxf>
    <dxf>
      <fill>
        <patternFill patternType="solid">
          <bgColor indexed="41"/>
        </patternFill>
      </fill>
    </dxf>
    <dxf>
      <fill>
        <patternFill>
          <bgColor indexed="10"/>
        </patternFill>
      </fill>
    </dxf>
    <dxf>
      <alignment wrapText="1" readingOrder="0"/>
    </dxf>
    <dxf>
      <alignment vertical="center" readingOrder="0"/>
    </dxf>
    <dxf>
      <alignment wrapText="1" readingOrder="0"/>
    </dxf>
    <dxf>
      <numFmt numFmtId="166" formatCode="#,##0;\-#,##0;&quot;&quot;"/>
    </dxf>
    <dxf>
      <fill>
        <patternFill patternType="none"/>
      </fill>
    </dxf>
    <dxf>
      <fill>
        <patternFill patternType="none"/>
      </fill>
    </dxf>
    <dxf>
      <font>
        <b/>
      </font>
    </dxf>
    <dxf>
      <font>
        <b/>
      </font>
    </dxf>
    <dxf>
      <fill>
        <patternFill patternType="solid">
          <bgColor indexed="41"/>
        </patternFill>
      </fill>
    </dxf>
    <dxf>
      <fill>
        <patternFill patternType="solid">
          <bgColor indexed="41"/>
        </patternFill>
      </fill>
    </dxf>
    <dxf>
      <fill>
        <patternFill>
          <bgColor indexed="10"/>
        </patternFill>
      </fill>
    </dxf>
    <dxf>
      <alignment wrapText="1" readingOrder="0"/>
    </dxf>
    <dxf>
      <alignment wrapText="1" readingOrder="0"/>
    </dxf>
    <dxf>
      <alignment wrapText="1"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wrapText="1" readingOrder="0"/>
    </dxf>
    <dxf>
      <numFmt numFmtId="166" formatCode="#,##0;\-#,##0;&quot;&quot;"/>
    </dxf>
    <dxf>
      <fill>
        <patternFill patternType="none"/>
      </fill>
    </dxf>
    <dxf>
      <fill>
        <patternFill patternType="none"/>
      </fill>
    </dxf>
    <dxf>
      <font>
        <b/>
      </font>
    </dxf>
    <dxf>
      <font>
        <b/>
      </font>
    </dxf>
    <dxf>
      <fill>
        <patternFill patternType="solid">
          <bgColor indexed="41"/>
        </patternFill>
      </fill>
    </dxf>
    <dxf>
      <fill>
        <patternFill patternType="solid">
          <bgColor indexed="41"/>
        </patternFill>
      </fill>
    </dxf>
    <dxf>
      <fill>
        <patternFill>
          <bgColor indexed="10"/>
        </patternFill>
      </fill>
    </dxf>
    <dxf>
      <fill>
        <patternFill>
          <bgColor indexed="65"/>
        </patternFill>
      </fill>
    </dxf>
    <dxf>
      <alignment vertical="center" readingOrder="0"/>
    </dxf>
    <dxf>
      <alignment wrapText="1" readingOrder="0"/>
    </dxf>
    <dxf>
      <numFmt numFmtId="166" formatCode="#,##0;\-#,##0;&quot;&quot;"/>
    </dxf>
    <dxf>
      <fill>
        <patternFill patternType="none"/>
      </fill>
    </dxf>
    <dxf>
      <fill>
        <patternFill patternType="none"/>
      </fill>
    </dxf>
    <dxf>
      <font>
        <b/>
      </font>
    </dxf>
    <dxf>
      <font>
        <b/>
      </font>
    </dxf>
    <dxf>
      <fill>
        <patternFill patternType="solid">
          <bgColor indexed="41"/>
        </patternFill>
      </fill>
    </dxf>
    <dxf>
      <fill>
        <patternFill patternType="solid">
          <bgColor indexed="41"/>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medium">
          <color rgb="FFFF0000"/>
        </left>
        <right/>
        <top/>
        <bottom/>
        <vertical/>
        <horizontal/>
      </border>
      <protection locked="0"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border diagonalUp="0" diagonalDown="0">
        <left style="thin">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protection locked="0" hidden="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protection locked="0" hidden="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protection locked="0" hidden="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protection locked="0" hidden="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protection locked="0" hidden="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bottom/>
        <vertical/>
        <horizontal/>
      </border>
      <protection locked="0" hidden="0"/>
    </dxf>
    <dxf>
      <font>
        <b val="0"/>
        <i val="0"/>
        <strike val="0"/>
        <condense val="0"/>
        <extend val="0"/>
        <outline val="0"/>
        <shadow val="0"/>
        <u val="none"/>
        <vertAlign val="baseline"/>
        <sz val="10"/>
        <color auto="1"/>
        <name val="Arial"/>
        <scheme val="none"/>
      </font>
      <protection locked="0" hidden="0"/>
    </dxf>
    <dxf>
      <font>
        <b val="0"/>
        <i val="0"/>
        <strike val="0"/>
        <condense val="0"/>
        <extend val="0"/>
        <outline val="0"/>
        <shadow val="0"/>
        <u val="none"/>
        <vertAlign val="baseline"/>
        <sz val="10"/>
        <color auto="1"/>
        <name val="Arial"/>
        <scheme val="none"/>
      </font>
      <border diagonalUp="0" diagonalDown="0">
        <left/>
        <right style="medium">
          <color indexed="8"/>
        </right>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border diagonalUp="0" diagonalDown="0">
        <left style="thin">
          <color indexed="64"/>
        </left>
        <right style="thin">
          <color indexed="64"/>
        </right>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border diagonalUp="0" diagonalDown="0">
        <left/>
        <right style="thin">
          <color indexed="64"/>
        </right>
        <top/>
        <bottom/>
        <vertical/>
        <horizontal/>
      </border>
      <protection locked="0" hidden="0"/>
    </dxf>
    <dxf>
      <border outline="0">
        <left style="thin">
          <color indexed="64"/>
        </left>
        <right style="medium">
          <color rgb="FFFF0000"/>
        </right>
        <top style="thin">
          <color indexed="64"/>
        </top>
      </border>
    </dxf>
    <dxf>
      <font>
        <b val="0"/>
        <i val="0"/>
        <strike val="0"/>
        <condense val="0"/>
        <extend val="0"/>
        <outline val="0"/>
        <shadow val="0"/>
        <u val="none"/>
        <vertAlign val="baseline"/>
        <sz val="10"/>
        <color indexed="17"/>
        <name val="Arial"/>
        <scheme val="none"/>
      </font>
      <fill>
        <patternFill patternType="none">
          <fgColor indexed="64"/>
          <bgColor indexed="65"/>
        </patternFill>
      </fill>
      <protection locked="0" hidden="0"/>
    </dxf>
    <dxf>
      <font>
        <b val="0"/>
        <i val="0"/>
        <strike val="0"/>
        <condense val="0"/>
        <extend val="0"/>
        <outline val="0"/>
        <shadow val="0"/>
        <u val="none"/>
        <vertAlign val="baseline"/>
        <sz val="10"/>
        <color indexed="9"/>
        <name val="Arial"/>
        <scheme val="none"/>
      </font>
      <fill>
        <patternFill patternType="solid">
          <fgColor indexed="64"/>
          <bgColor indexed="17"/>
        </patternFill>
      </fill>
      <alignment horizontal="center" vertical="top" textRotation="90" wrapText="1" indent="0" justifyLastLine="0" shrinkToFit="0" readingOrder="0"/>
      <border diagonalUp="0" diagonalDown="0" outline="0">
        <left style="thin">
          <color indexed="9"/>
        </left>
        <right style="thin">
          <color indexed="9"/>
        </right>
        <top/>
        <bottom/>
      </border>
      <protection locked="1" hidden="0"/>
    </dxf>
    <dxf>
      <fill>
        <patternFill>
          <bgColor rgb="FFFF0000"/>
        </patternFill>
      </fill>
    </dxf>
    <dxf>
      <fill>
        <patternFill>
          <bgColor rgb="FFFF0000"/>
        </patternFill>
      </fill>
    </dxf>
    <dxf>
      <font>
        <b val="0"/>
        <i val="0"/>
        <strike val="0"/>
        <condense val="0"/>
        <extend val="0"/>
        <outline val="0"/>
        <shadow val="0"/>
        <u val="none"/>
        <vertAlign val="baseline"/>
        <sz val="10"/>
        <color auto="1"/>
        <name val="Arial"/>
        <scheme val="none"/>
      </font>
      <fill>
        <patternFill patternType="solid">
          <fgColor indexed="64"/>
          <bgColor indexed="51"/>
        </patternFill>
      </fill>
      <alignment horizontal="general" vertical="top" textRotation="0" wrapText="1" indent="0" justifyLastLine="0" shrinkToFit="0" readingOrder="0"/>
      <protection locked="0" hidden="0"/>
    </dxf>
    <dxf>
      <numFmt numFmtId="19" formatCode="dd/mm/yyyy"/>
      <fill>
        <patternFill patternType="solid">
          <fgColor indexed="64"/>
          <bgColor indexed="22"/>
        </patternFill>
      </fill>
      <protection locked="0" hidden="0"/>
    </dxf>
    <dxf>
      <fill>
        <patternFill patternType="solid">
          <fgColor indexed="64"/>
          <bgColor indexed="22"/>
        </patternFill>
      </fill>
      <protection locked="0" hidden="0"/>
    </dxf>
    <dxf>
      <fill>
        <patternFill patternType="solid">
          <fgColor indexed="64"/>
          <bgColor indexed="22"/>
        </patternFill>
      </fill>
      <protection locked="0" hidden="0"/>
    </dxf>
    <dxf>
      <font>
        <b/>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1" indent="0" justifyLastLine="0" shrinkToFit="0" readingOrder="0"/>
      <protection locked="1" hidden="0"/>
    </dxf>
  </dxfs>
  <tableStyles count="0" defaultTableStyle="TableStyleMedium9" defaultPivotStyle="PivotStyleLight16"/>
  <colors>
    <mruColors>
      <color rgb="FF99FF99"/>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8</xdr:col>
      <xdr:colOff>590550</xdr:colOff>
      <xdr:row>63</xdr:row>
      <xdr:rowOff>85725</xdr:rowOff>
    </xdr:to>
    <xdr:sp macro="" textlink="">
      <xdr:nvSpPr>
        <xdr:cNvPr id="2" name="Text Box 7"/>
        <xdr:cNvSpPr txBox="1">
          <a:spLocks noChangeArrowheads="1"/>
        </xdr:cNvSpPr>
      </xdr:nvSpPr>
      <xdr:spPr bwMode="auto">
        <a:xfrm>
          <a:off x="0" y="9525"/>
          <a:ext cx="7419975" cy="10325100"/>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200" b="1" i="0" u="none" strike="noStrike" baseline="0">
              <a:solidFill>
                <a:srgbClr val="333399"/>
              </a:solidFill>
              <a:latin typeface="Arial"/>
              <a:cs typeface="Arial"/>
            </a:rPr>
            <a:t>PROJET PIAVE</a:t>
          </a:r>
        </a:p>
        <a:p>
          <a:pPr algn="l" rtl="0">
            <a:defRPr sz="1000"/>
          </a:pPr>
          <a:endParaRPr lang="en-US" sz="1200" b="1" i="0" u="none" strike="noStrike" baseline="0">
            <a:solidFill>
              <a:srgbClr val="333399"/>
            </a:solidFill>
            <a:latin typeface="Arial"/>
            <a:cs typeface="Arial"/>
          </a:endParaRPr>
        </a:p>
        <a:p>
          <a:pPr algn="l" rtl="0">
            <a:defRPr sz="1000"/>
          </a:pPr>
          <a:r>
            <a:rPr lang="en-US" sz="1200" b="1" i="0" u="none" strike="noStrike" baseline="0">
              <a:solidFill>
                <a:srgbClr val="333399"/>
              </a:solidFill>
              <a:latin typeface="Arial"/>
              <a:cs typeface="Arial"/>
            </a:rPr>
            <a:t>COMMENT REMPLIR LA BASE DE DONNEES FINANCIERE ?</a:t>
          </a:r>
        </a:p>
        <a:p>
          <a:pPr algn="l" rtl="0">
            <a:defRPr sz="1000"/>
          </a:pPr>
          <a:endParaRPr lang="en-US" sz="1200" b="1" i="0" u="none" strike="noStrike" baseline="0">
            <a:solidFill>
              <a:srgbClr val="333399"/>
            </a:solidFill>
            <a:latin typeface="Arial"/>
            <a:cs typeface="Arial"/>
          </a:endParaRPr>
        </a:p>
        <a:p>
          <a:pPr algn="l" rtl="0">
            <a:defRPr sz="1000"/>
          </a:pPr>
          <a:r>
            <a:rPr lang="en-US" sz="1200" b="1" i="0" u="none" strike="noStrike" baseline="0">
              <a:solidFill>
                <a:srgbClr val="333399"/>
              </a:solidFill>
              <a:latin typeface="Arial"/>
              <a:cs typeface="Arial"/>
            </a:rPr>
            <a:t>L'approche proposée par base de données EXCEL est un moyen inhabituel mais très puissant pour entrer ni plus ni moins que les informations usuelles demandées dans un devis de projet. Elle facilite grandement :</a:t>
          </a:r>
        </a:p>
        <a:p>
          <a:pPr algn="l" rtl="0">
            <a:defRPr sz="1000"/>
          </a:pPr>
          <a:r>
            <a:rPr lang="en-US" sz="1200" b="1" i="0" u="none" strike="noStrike" baseline="0">
              <a:solidFill>
                <a:srgbClr val="333399"/>
              </a:solidFill>
              <a:latin typeface="Arial"/>
              <a:cs typeface="Arial"/>
            </a:rPr>
            <a:t>- la saisie et l'agrégation des données fournies par chaque partenaire</a:t>
          </a:r>
        </a:p>
        <a:p>
          <a:pPr algn="l" rtl="0">
            <a:defRPr sz="1000"/>
          </a:pPr>
          <a:r>
            <a:rPr lang="en-US" sz="1200" b="1" i="0" u="none" strike="noStrike" baseline="0">
              <a:solidFill>
                <a:srgbClr val="333399"/>
              </a:solidFill>
              <a:latin typeface="Arial"/>
              <a:cs typeface="Arial"/>
            </a:rPr>
            <a:t>- l'analyse ciblée par tris successifs (lot, partenaire, étape-clé etc...)</a:t>
          </a:r>
        </a:p>
        <a:p>
          <a:pPr algn="l" rtl="0">
            <a:defRPr sz="1000"/>
          </a:pPr>
          <a:r>
            <a:rPr lang="en-US" sz="1200" b="1" i="0" u="none" strike="noStrike" baseline="0">
              <a:solidFill>
                <a:srgbClr val="333399"/>
              </a:solidFill>
              <a:latin typeface="Arial"/>
              <a:cs typeface="Arial"/>
            </a:rPr>
            <a:t>- la réalisation de tableaux de synthèse (tableaux croisés dynamiques)</a:t>
          </a:r>
        </a:p>
        <a:p>
          <a:pPr algn="l" rtl="0">
            <a:defRPr sz="1000"/>
          </a:pPr>
          <a:r>
            <a:rPr lang="en-US" sz="1200" b="1" i="0" u="none" strike="noStrike" baseline="0">
              <a:solidFill>
                <a:srgbClr val="333399"/>
              </a:solidFill>
              <a:latin typeface="Arial"/>
              <a:cs typeface="Arial"/>
            </a:rPr>
            <a:t>- la simulation pendant les phases itératives de construction et de discussion du budget projet.</a:t>
          </a:r>
        </a:p>
        <a:p>
          <a:pPr algn="l" rtl="0">
            <a:defRPr sz="1000"/>
          </a:pPr>
          <a:endParaRPr lang="en-US" sz="1200" b="1" i="0" u="none" strike="noStrike" baseline="0">
            <a:solidFill>
              <a:srgbClr val="333399"/>
            </a:solidFill>
            <a:latin typeface="Arial"/>
            <a:cs typeface="Arial"/>
          </a:endParaRPr>
        </a:p>
        <a:p>
          <a:pPr algn="l" rtl="0">
            <a:defRPr sz="1000"/>
          </a:pPr>
          <a:r>
            <a:rPr lang="en-US" sz="1200" b="1" i="0" u="none" strike="noStrike" baseline="0">
              <a:solidFill>
                <a:srgbClr val="333399"/>
              </a:solidFill>
              <a:latin typeface="Arial"/>
              <a:cs typeface="Arial"/>
            </a:rPr>
            <a:t>L'expérience a montré qu'une fois passée la phase initiale de familiarisation, les utilisateurs apprécient la puissance et la flexibilité de cet outil, que Bpifrance vous recommande donc fortement d'utiliser. Les chargés de projets pourront vous apporter le support nécessaire en cas de besoin.</a:t>
          </a:r>
        </a:p>
        <a:p>
          <a:pPr algn="l" rtl="0">
            <a:defRPr sz="1000"/>
          </a:pPr>
          <a:endParaRPr lang="en-US" sz="1200" b="1" i="0" u="none" strike="noStrike" baseline="0">
            <a:solidFill>
              <a:srgbClr val="333399"/>
            </a:solidFill>
            <a:latin typeface="Arial"/>
            <a:cs typeface="Arial"/>
          </a:endParaRPr>
        </a:p>
        <a:p>
          <a:pPr algn="l" rtl="0">
            <a:defRPr sz="1000"/>
          </a:pPr>
          <a:r>
            <a:rPr lang="en-US" sz="1200" b="0" i="0" u="sng" strike="noStrike" baseline="0">
              <a:solidFill>
                <a:srgbClr val="333399"/>
              </a:solidFill>
              <a:latin typeface="Arial"/>
              <a:cs typeface="Arial"/>
            </a:rPr>
            <a:t>Nota : pour vous permettre de vous familiariser avec l'application, le présent fichier contient un exemple type. Vous devez remplacer les données de l'exemple par celles de votre projet.</a:t>
          </a:r>
          <a:endParaRPr lang="en-US" sz="1200" b="1" i="0" u="none" strike="noStrike" baseline="0">
            <a:solidFill>
              <a:srgbClr val="333399"/>
            </a:solidFill>
            <a:latin typeface="Arial"/>
            <a:cs typeface="Arial"/>
          </a:endParaRPr>
        </a:p>
        <a:p>
          <a:pPr algn="l" rtl="0">
            <a:defRPr sz="1000"/>
          </a:pPr>
          <a:endParaRPr lang="en-US" sz="1200" b="1" i="0" u="none" strike="noStrike" baseline="0">
            <a:solidFill>
              <a:srgbClr val="333399"/>
            </a:solidFill>
            <a:latin typeface="Arial"/>
            <a:cs typeface="Arial"/>
          </a:endParaRPr>
        </a:p>
        <a:p>
          <a:pPr algn="l" rtl="0">
            <a:defRPr sz="1000"/>
          </a:pPr>
          <a:r>
            <a:rPr lang="en-US" sz="1200" b="0" i="0" u="none" strike="noStrike" baseline="0">
              <a:solidFill>
                <a:srgbClr val="000000"/>
              </a:solidFill>
              <a:latin typeface="Arial"/>
              <a:cs typeface="Arial"/>
            </a:rPr>
            <a:t>Onglet "Calendrier" : caler le T0 prévisionnel et le nombre d'étapes clés.</a:t>
          </a:r>
        </a:p>
        <a:p>
          <a:pPr algn="l" rtl="0">
            <a:defRPr sz="1000"/>
          </a:pPr>
          <a:endParaRPr lang="en-US" sz="1200" b="0" i="0" u="none" strike="noStrike" baseline="0">
            <a:solidFill>
              <a:srgbClr val="000000"/>
            </a:solidFill>
            <a:latin typeface="Arial"/>
            <a:cs typeface="Arial"/>
          </a:endParaRPr>
        </a:p>
        <a:p>
          <a:pPr algn="l" rtl="0">
            <a:defRPr sz="1000"/>
          </a:pPr>
          <a:r>
            <a:rPr lang="en-US" sz="1200" b="0" i="0" u="sng" strike="noStrike" baseline="0">
              <a:solidFill>
                <a:srgbClr val="000000"/>
              </a:solidFill>
              <a:latin typeface="Arial"/>
              <a:cs typeface="Arial"/>
            </a:rPr>
            <a:t>Entrer la liste des partenaires</a:t>
          </a: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Dans l'onglet "Partenaires", insérer des lignes et remplir les colonnes A à G.</a:t>
          </a:r>
        </a:p>
        <a:p>
          <a:pPr algn="l" rtl="0">
            <a:defRPr sz="1000"/>
          </a:pPr>
          <a:endParaRPr lang="en-US" sz="1200" b="0" i="1" u="none" strike="noStrike" baseline="0">
            <a:solidFill>
              <a:srgbClr val="000000"/>
            </a:solidFill>
            <a:latin typeface="Arial"/>
            <a:cs typeface="Arial"/>
          </a:endParaRPr>
        </a:p>
        <a:p>
          <a:pPr algn="l" rtl="0">
            <a:defRPr sz="1000"/>
          </a:pPr>
          <a:r>
            <a:rPr lang="en-US" sz="1200" b="0" i="0" u="sng" strike="noStrike" baseline="0">
              <a:solidFill>
                <a:srgbClr val="000000"/>
              </a:solidFill>
              <a:latin typeface="Arial"/>
              <a:cs typeface="Arial"/>
            </a:rPr>
            <a:t>Compléter la base de données (onglet "Devis")</a:t>
          </a: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Définir les lots, les sous-lots (optionnels) et les tâches, les livrables associés à chaque tâche (en général communs à plusieurs tâches, les partenaires impliqués et les étapes-clés selon les indications de la demande d'aide).</a:t>
          </a:r>
        </a:p>
        <a:p>
          <a:pPr algn="l" rtl="0">
            <a:defRPr sz="1000"/>
          </a:pPr>
          <a:endParaRPr lang="en-US" sz="1200" b="0" i="0" u="none" strike="noStrike" baseline="0">
            <a:solidFill>
              <a:srgbClr val="000000"/>
            </a:solidFill>
            <a:latin typeface="Arial"/>
            <a:cs typeface="Arial"/>
          </a:endParaRPr>
        </a:p>
        <a:p>
          <a:pPr algn="l" rtl="0">
            <a:defRPr sz="1000"/>
          </a:pPr>
          <a:r>
            <a:rPr lang="en-US" sz="1200" b="1" i="0" u="none" strike="noStrike" baseline="0">
              <a:solidFill>
                <a:srgbClr val="000000"/>
              </a:solidFill>
              <a:latin typeface="Arial"/>
              <a:cs typeface="Arial"/>
            </a:rPr>
            <a:t>Remplir une ligne par tâche + livrable + partenaire + étape clé</a:t>
          </a:r>
          <a:r>
            <a:rPr lang="en-US" sz="1200" b="0" i="0" u="none" strike="noStrike" baseline="0">
              <a:solidFill>
                <a:srgbClr val="000000"/>
              </a:solidFill>
              <a:latin typeface="Arial"/>
              <a:cs typeface="Arial"/>
            </a:rPr>
            <a:t> en précisant pour chacune : </a:t>
          </a:r>
        </a:p>
        <a:p>
          <a:pPr algn="l" rtl="0">
            <a:defRPr sz="1000"/>
          </a:pPr>
          <a:r>
            <a:rPr lang="en-US" sz="1200" b="0" i="0" u="none" strike="noStrike" baseline="0">
              <a:solidFill>
                <a:srgbClr val="000000"/>
              </a:solidFill>
              <a:latin typeface="Arial"/>
              <a:cs typeface="Arial"/>
            </a:rPr>
            <a:t>- le rattachement à la structure du programme (colonnes à en-têtes "bleus" A à H)</a:t>
          </a:r>
        </a:p>
        <a:p>
          <a:pPr algn="l" rtl="0">
            <a:defRPr sz="1000"/>
          </a:pPr>
          <a:r>
            <a:rPr lang="en-US" sz="1200" b="0" i="0" u="none" strike="noStrike" baseline="0">
              <a:solidFill>
                <a:srgbClr val="000000"/>
              </a:solidFill>
              <a:latin typeface="Arial"/>
              <a:cs typeface="Arial"/>
            </a:rPr>
            <a:t>- le détail des coûts (colonnes à en-têtes "verts" I à O)</a:t>
          </a:r>
        </a:p>
        <a:p>
          <a:pPr algn="l" rtl="0">
            <a:defRPr sz="1000"/>
          </a:pPr>
          <a:endParaRPr lang="en-US" sz="1200" b="0" i="0" u="none" strike="noStrike" baseline="0">
            <a:solidFill>
              <a:srgbClr val="000000"/>
            </a:solidFill>
            <a:latin typeface="Arial"/>
            <a:cs typeface="Arial"/>
          </a:endParaRPr>
        </a:p>
        <a:p>
          <a:pPr algn="l" rtl="0">
            <a:defRPr sz="1000"/>
          </a:pPr>
          <a:r>
            <a:rPr lang="en-US" sz="1200" b="1" i="1" u="none" strike="noStrike" baseline="0">
              <a:solidFill>
                <a:srgbClr val="000000"/>
              </a:solidFill>
              <a:latin typeface="Arial"/>
              <a:cs typeface="Arial"/>
            </a:rPr>
            <a:t>Notes</a:t>
          </a:r>
          <a:r>
            <a:rPr lang="en-US" sz="1200" b="0" i="1" u="none" strike="noStrike" baseline="0">
              <a:solidFill>
                <a:srgbClr val="000000"/>
              </a:solidFill>
              <a:latin typeface="Arial"/>
              <a:cs typeface="Arial"/>
            </a:rPr>
            <a:t> :</a:t>
          </a:r>
        </a:p>
        <a:p>
          <a:pPr algn="l" rtl="0">
            <a:defRPr sz="1000"/>
          </a:pPr>
          <a:r>
            <a:rPr lang="en-US" sz="1200" b="0" i="1" u="none" strike="noStrike" baseline="0">
              <a:solidFill>
                <a:srgbClr val="000000"/>
              </a:solidFill>
              <a:latin typeface="Arial"/>
              <a:cs typeface="Arial"/>
            </a:rPr>
            <a:t>- une ligne ne peut comprendre qu'une seule nature de dépenses : soit des coûts de fonctionnement, soit des coûts d'investissement. En cas de saisie de deux natures de dépenses différentes, la dépense ne correspondant pas à la nature du régime d'aide sélectionné sera ignorée et l'arrière plan de la dépense  correspondante colorié en rouge.</a:t>
          </a:r>
        </a:p>
        <a:p>
          <a:pPr algn="l" rtl="0">
            <a:defRPr sz="1000"/>
          </a:pPr>
          <a:r>
            <a:rPr lang="en-US" sz="1200" b="0" i="1" u="none" strike="noStrike" baseline="0">
              <a:solidFill>
                <a:srgbClr val="000000"/>
              </a:solidFill>
              <a:latin typeface="Arial"/>
              <a:cs typeface="Arial"/>
            </a:rPr>
            <a:t>- il est conseillé de découper les tâches trop longues qui s'étalent sur au moins deux étapes clés. En effet, les versements des aides sont effectués lors de l'étape clé qui précède celle de la fin de la tâche.</a:t>
          </a:r>
        </a:p>
        <a:p>
          <a:pPr algn="l" rtl="0">
            <a:defRPr sz="1000"/>
          </a:pPr>
          <a:endParaRPr lang="en-US" sz="1200" b="0" i="0" u="none" strike="noStrike" baseline="0">
            <a:solidFill>
              <a:srgbClr val="000000"/>
            </a:solidFill>
            <a:latin typeface="Arial"/>
            <a:cs typeface="Arial"/>
          </a:endParaRPr>
        </a:p>
        <a:p>
          <a:pPr algn="l" rtl="0">
            <a:defRPr sz="1000"/>
          </a:pPr>
          <a:r>
            <a:rPr lang="en-US" sz="1200" b="1" i="1" u="none" strike="noStrike" baseline="0">
              <a:solidFill>
                <a:srgbClr val="000000"/>
              </a:solidFill>
              <a:latin typeface="Arial"/>
              <a:cs typeface="Arial"/>
            </a:rPr>
            <a:t>Attention :</a:t>
          </a:r>
          <a:r>
            <a:rPr lang="en-US" sz="1200" b="0" i="1" u="none" strike="noStrike" baseline="0">
              <a:solidFill>
                <a:srgbClr val="000000"/>
              </a:solidFill>
              <a:latin typeface="Arial"/>
              <a:cs typeface="Arial"/>
            </a:rPr>
            <a:t> après chaque changement dans les données il faut actualiser le tableau dynamique (clic droit dans le tableau puis "Actualiser les données")</a:t>
          </a:r>
          <a:endParaRPr lang="en-US" sz="1200" b="0" i="0" u="none" strike="noStrike" baseline="0">
            <a:solidFill>
              <a:srgbClr val="000000"/>
            </a:solidFill>
            <a:latin typeface="Arial"/>
            <a:cs typeface="Arial"/>
          </a:endParaRPr>
        </a:p>
      </xdr:txBody>
    </xdr:sp>
    <xdr:clientData/>
  </xdr:twoCellAnchor>
  <xdr:twoCellAnchor editAs="oneCell">
    <xdr:from>
      <xdr:col>6</xdr:col>
      <xdr:colOff>781050</xdr:colOff>
      <xdr:row>1</xdr:row>
      <xdr:rowOff>9525</xdr:rowOff>
    </xdr:from>
    <xdr:to>
      <xdr:col>8</xdr:col>
      <xdr:colOff>533400</xdr:colOff>
      <xdr:row>4</xdr:row>
      <xdr:rowOff>123825</xdr:rowOff>
    </xdr:to>
    <xdr:pic>
      <xdr:nvPicPr>
        <xdr:cNvPr id="4"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2650" y="171450"/>
          <a:ext cx="14001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OnLoad="1" refreshedBy="Julie BAUDET" refreshedDate="42646.648665740744" missingItemsLimit="0" createdVersion="4" refreshedVersion="5" minRefreshableVersion="3" recordCount="24">
  <cacheSource type="worksheet">
    <worksheetSource name="Tableau_Devis"/>
  </cacheSource>
  <cacheFields count="30">
    <cacheField name="Lot" numFmtId="0">
      <sharedItems/>
    </cacheField>
    <cacheField name="Sous-lot (facultatif)" numFmtId="0">
      <sharedItems containsNonDate="0" containsString="0" containsBlank="1"/>
    </cacheField>
    <cacheField name="Tache" numFmtId="0">
      <sharedItems containsSemiMixedTypes="0" containsString="0" containsNumber="1" containsInteger="1" minValue="1" maxValue="4"/>
    </cacheField>
    <cacheField name="Intitulé de la tache ou de l'investissement" numFmtId="0">
      <sharedItems/>
    </cacheField>
    <cacheField name="Partenaire" numFmtId="0">
      <sharedItems count="5">
        <s v="IXE"/>
        <s v="IGREC"/>
        <s v="ZED"/>
        <s v="ALPHA"/>
        <s v="BETA"/>
      </sharedItems>
    </cacheField>
    <cacheField name="Mois de début" numFmtId="0">
      <sharedItems containsSemiMixedTypes="0" containsString="0" containsNumber="1" containsInteger="1" minValue="1" maxValue="25"/>
    </cacheField>
    <cacheField name="Mois de fin" numFmtId="0">
      <sharedItems containsSemiMixedTypes="0" containsString="0" containsNumber="1" containsInteger="1" minValue="12" maxValue="36"/>
    </cacheField>
    <cacheField name="Livrable" numFmtId="0">
      <sharedItems/>
    </cacheField>
    <cacheField name="Personne.mois cat 1" numFmtId="1">
      <sharedItems containsString="0" containsBlank="1" containsNumber="1" containsInteger="1" minValue="1" maxValue="48"/>
    </cacheField>
    <cacheField name="Personne.mois cat 2" numFmtId="1">
      <sharedItems containsString="0" containsBlank="1" containsNumber="1" containsInteger="1" minValue="3" maxValue="24"/>
    </cacheField>
    <cacheField name="Personne.mois cat 3" numFmtId="1">
      <sharedItems containsString="0" containsBlank="1" containsNumber="1" containsInteger="1" minValue="3" maxValue="12"/>
    </cacheField>
    <cacheField name="Dépenses de sous-traitance H.T." numFmtId="1">
      <sharedItems containsString="0" containsBlank="1" containsNumber="1" containsInteger="1" minValue="2500" maxValue="200000"/>
    </cacheField>
    <cacheField name="Contribution aux amortissements" numFmtId="1">
      <sharedItems containsString="0" containsBlank="1" containsNumber="1" containsInteger="1" minValue="2500" maxValue="100000"/>
    </cacheField>
    <cacheField name="Autres_dépenses" numFmtId="1">
      <sharedItems containsString="0" containsBlank="1" containsNumber="1" containsInteger="1" minValue="1000" maxValue="40000"/>
    </cacheField>
    <cacheField name="Investissements" numFmtId="3">
      <sharedItems containsString="0" containsBlank="1" containsNumber="1" containsInteger="1" minValue="250000" maxValue="700000"/>
    </cacheField>
    <cacheField name="Destination des aides" numFmtId="0">
      <sharedItems/>
    </cacheField>
    <cacheField name="Type de coûts" numFmtId="0">
      <sharedItems/>
    </cacheField>
    <cacheField name="Durée" numFmtId="0">
      <sharedItems containsSemiMixedTypes="0" containsString="0" containsNumber="1" containsInteger="1" minValue="6" maxValue="12"/>
    </cacheField>
    <cacheField name="Etape-clef" numFmtId="0">
      <sharedItems/>
    </cacheField>
    <cacheField name="Total pers.mois présentés" numFmtId="0">
      <sharedItems containsSemiMixedTypes="0" containsString="0" containsNumber="1" containsInteger="1" minValue="0" maxValue="84"/>
    </cacheField>
    <cacheField name="Salaires" numFmtId="3">
      <sharedItems containsSemiMixedTypes="0" containsString="0" containsNumber="1" containsInteger="1" minValue="0" maxValue="576000"/>
    </cacheField>
    <cacheField name="Frais généraux" numFmtId="3">
      <sharedItems containsSemiMixedTypes="0" containsString="0" containsNumber="1" containsInteger="1" minValue="0" maxValue="115200"/>
    </cacheField>
    <cacheField name="Sous-traitance" numFmtId="3">
      <sharedItems containsSemiMixedTypes="0" containsString="0" containsNumber="1" containsInteger="1" minValue="0" maxValue="200000"/>
    </cacheField>
    <cacheField name="Dotations aux amortissements" numFmtId="3">
      <sharedItems containsSemiMixedTypes="0" containsString="0" containsNumber="1" containsInteger="1" minValue="0" maxValue="100000"/>
    </cacheField>
    <cacheField name="Autres dépenses" numFmtId="3">
      <sharedItems containsSemiMixedTypes="0" containsString="0" containsNumber="1" containsInteger="1" minValue="0" maxValue="40000"/>
    </cacheField>
    <cacheField name="Coûts de fonctionnement" numFmtId="3">
      <sharedItems containsSemiMixedTypes="0" containsString="0" containsNumber="1" containsInteger="1" minValue="0" maxValue="1031200"/>
    </cacheField>
    <cacheField name="Coûts d'investissement" numFmtId="3">
      <sharedItems containsSemiMixedTypes="0" containsString="0" containsNumber="1" containsInteger="1" minValue="0" maxValue="700000"/>
    </cacheField>
    <cacheField name="Coûts totaux" numFmtId="3">
      <sharedItems containsSemiMixedTypes="0" containsString="0" containsNumber="1" containsInteger="1" minValue="10600" maxValue="1031200"/>
    </cacheField>
    <cacheField name="ETP" numFmtId="0" formula="IF(#NAME?&gt;0,#NAME?*12/#NAME?,0)" databaseField="0"/>
    <cacheField name="Salaires par mois" numFmtId="0" formula="#NAME?/#NAME?" databaseField="0"/>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OnLoad="1" refreshedBy="Julie BAUDET" refreshedDate="42646.64866608796" missingItemsLimit="0" createdVersion="4" refreshedVersion="5" minRefreshableVersion="3" recordCount="24">
  <cacheSource type="worksheet">
    <worksheetSource name="Tableau_Devis"/>
  </cacheSource>
  <cacheFields count="30">
    <cacheField name="Lot" numFmtId="0">
      <sharedItems count="6">
        <s v="LOT 1"/>
        <s v="LOT 2"/>
        <s v="LOT 3"/>
        <s v="LOT 4"/>
        <s v="LOT 5"/>
        <s v="LOT 6"/>
      </sharedItems>
    </cacheField>
    <cacheField name="Sous-lot (facultatif)" numFmtId="0">
      <sharedItems containsNonDate="0" containsString="0" containsBlank="1" count="1">
        <m/>
      </sharedItems>
    </cacheField>
    <cacheField name="Tache" numFmtId="0">
      <sharedItems containsSemiMixedTypes="0" containsString="0" containsNumber="1" containsInteger="1" minValue="1" maxValue="4"/>
    </cacheField>
    <cacheField name="Intitulé de la tache ou de l'investissement" numFmtId="0">
      <sharedItems/>
    </cacheField>
    <cacheField name="Partenaire" numFmtId="0">
      <sharedItems count="5">
        <s v="IXE"/>
        <s v="IGREC"/>
        <s v="ZED"/>
        <s v="ALPHA"/>
        <s v="BETA"/>
      </sharedItems>
    </cacheField>
    <cacheField name="Mois de début" numFmtId="0">
      <sharedItems containsSemiMixedTypes="0" containsString="0" containsNumber="1" containsInteger="1" minValue="1" maxValue="25" count="3">
        <n v="1"/>
        <n v="13"/>
        <n v="25"/>
      </sharedItems>
    </cacheField>
    <cacheField name="Mois de fin" numFmtId="0">
      <sharedItems containsSemiMixedTypes="0" containsString="0" containsNumber="1" containsInteger="1" minValue="12" maxValue="36" count="4">
        <n v="12"/>
        <n v="18"/>
        <n v="36"/>
        <n v="24"/>
      </sharedItems>
    </cacheField>
    <cacheField name="Livrable" numFmtId="0">
      <sharedItems/>
    </cacheField>
    <cacheField name="Personne.mois cat 1" numFmtId="1">
      <sharedItems containsString="0" containsBlank="1" containsNumber="1" containsInteger="1" minValue="1" maxValue="48"/>
    </cacheField>
    <cacheField name="Personne.mois cat 2" numFmtId="1">
      <sharedItems containsString="0" containsBlank="1" containsNumber="1" containsInteger="1" minValue="3" maxValue="24"/>
    </cacheField>
    <cacheField name="Personne.mois cat 3" numFmtId="1">
      <sharedItems containsString="0" containsBlank="1" containsNumber="1" containsInteger="1" minValue="3" maxValue="12"/>
    </cacheField>
    <cacheField name="Dépenses de sous-traitance H.T." numFmtId="1">
      <sharedItems containsString="0" containsBlank="1" containsNumber="1" containsInteger="1" minValue="2500" maxValue="200000"/>
    </cacheField>
    <cacheField name="Contribution aux amortissements" numFmtId="1">
      <sharedItems containsString="0" containsBlank="1" containsNumber="1" containsInteger="1" minValue="2500" maxValue="100000"/>
    </cacheField>
    <cacheField name="Autres_dépenses" numFmtId="1">
      <sharedItems containsString="0" containsBlank="1" containsNumber="1" containsInteger="1" minValue="1000" maxValue="40000"/>
    </cacheField>
    <cacheField name="Investissements" numFmtId="3">
      <sharedItems containsString="0" containsBlank="1" containsNumber="1" containsInteger="1" minValue="250000" maxValue="700000"/>
    </cacheField>
    <cacheField name="Destination des aides" numFmtId="0">
      <sharedItems count="2">
        <s v="Fonctionnement"/>
        <s v="Investissement"/>
      </sharedItems>
    </cacheField>
    <cacheField name="Type de coûts" numFmtId="0">
      <sharedItems/>
    </cacheField>
    <cacheField name="Durée" numFmtId="0">
      <sharedItems containsSemiMixedTypes="0" containsString="0" containsNumber="1" containsInteger="1" minValue="6" maxValue="12"/>
    </cacheField>
    <cacheField name="Etape-clef" numFmtId="0">
      <sharedItems count="3">
        <s v="EC01"/>
        <s v="EC02"/>
        <s v="EC03"/>
      </sharedItems>
    </cacheField>
    <cacheField name="Total pers.mois présentés" numFmtId="0">
      <sharedItems containsSemiMixedTypes="0" containsString="0" containsNumber="1" containsInteger="1" minValue="0" maxValue="84"/>
    </cacheField>
    <cacheField name="Salaires" numFmtId="3">
      <sharedItems containsSemiMixedTypes="0" containsString="0" containsNumber="1" containsInteger="1" minValue="0" maxValue="576000"/>
    </cacheField>
    <cacheField name="Frais généraux" numFmtId="3">
      <sharedItems containsSemiMixedTypes="0" containsString="0" containsNumber="1" containsInteger="1" minValue="0" maxValue="115200"/>
    </cacheField>
    <cacheField name="Sous-traitance" numFmtId="3">
      <sharedItems containsSemiMixedTypes="0" containsString="0" containsNumber="1" containsInteger="1" minValue="0" maxValue="200000"/>
    </cacheField>
    <cacheField name="Dotations aux amortissements" numFmtId="3">
      <sharedItems containsSemiMixedTypes="0" containsString="0" containsNumber="1" containsInteger="1" minValue="0" maxValue="100000"/>
    </cacheField>
    <cacheField name="Autres dépenses" numFmtId="3">
      <sharedItems containsSemiMixedTypes="0" containsString="0" containsNumber="1" containsInteger="1" minValue="0" maxValue="40000"/>
    </cacheField>
    <cacheField name="Coûts de fonctionnement" numFmtId="3">
      <sharedItems containsSemiMixedTypes="0" containsString="0" containsNumber="1" containsInteger="1" minValue="0" maxValue="1031200"/>
    </cacheField>
    <cacheField name="Coûts d'investissement" numFmtId="3">
      <sharedItems containsSemiMixedTypes="0" containsString="0" containsNumber="1" containsInteger="1" minValue="0" maxValue="700000"/>
    </cacheField>
    <cacheField name="Coûts totaux" numFmtId="3">
      <sharedItems containsSemiMixedTypes="0" containsString="0" containsNumber="1" containsInteger="1" minValue="10600" maxValue="1031200"/>
    </cacheField>
    <cacheField name="ETP" numFmtId="0" formula="IF(#NAME?&gt;0,#NAME?*12/#NAME?,0)" databaseField="0"/>
    <cacheField name="Salaires par mois" numFmtId="0" formula="#NAME?/#NAME?"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4">
  <r>
    <s v="LOT 1"/>
    <m/>
    <n v="1"/>
    <s v="Gestion de projet"/>
    <x v="0"/>
    <n v="1"/>
    <n v="12"/>
    <s v="1.1"/>
    <n v="1"/>
    <m/>
    <m/>
    <m/>
    <m/>
    <n v="1000"/>
    <m/>
    <s v="Fonctionnement"/>
    <s v="Complets"/>
    <n v="12"/>
    <s v="EC01"/>
    <n v="1"/>
    <n v="8000"/>
    <n v="1600"/>
    <n v="0"/>
    <n v="0"/>
    <n v="1000"/>
    <n v="10600"/>
    <n v="0"/>
    <n v="10600"/>
  </r>
  <r>
    <s v="LOT 1"/>
    <m/>
    <n v="2"/>
    <s v="Gestion de projet"/>
    <x v="0"/>
    <n v="13"/>
    <n v="18"/>
    <s v="1.2"/>
    <n v="1"/>
    <m/>
    <m/>
    <m/>
    <m/>
    <n v="1000"/>
    <m/>
    <s v="Fonctionnement"/>
    <s v="Complets"/>
    <n v="6"/>
    <s v="EC02"/>
    <n v="1"/>
    <n v="8000"/>
    <n v="1600"/>
    <n v="0"/>
    <n v="0"/>
    <n v="1000"/>
    <n v="10600"/>
    <n v="0"/>
    <n v="10600"/>
  </r>
  <r>
    <s v="LOT 1"/>
    <m/>
    <n v="3"/>
    <s v="Gestion de projet"/>
    <x v="0"/>
    <n v="25"/>
    <n v="36"/>
    <s v="1.3"/>
    <n v="1"/>
    <m/>
    <m/>
    <m/>
    <m/>
    <n v="1000"/>
    <m/>
    <s v="Fonctionnement"/>
    <s v="Complets"/>
    <n v="12"/>
    <s v="EC03"/>
    <n v="1"/>
    <n v="8000"/>
    <n v="1600"/>
    <n v="0"/>
    <n v="0"/>
    <n v="1000"/>
    <n v="10600"/>
    <n v="0"/>
    <n v="10600"/>
  </r>
  <r>
    <s v="LOT 2"/>
    <m/>
    <n v="1"/>
    <s v="Faisabilité brique techno"/>
    <x v="0"/>
    <n v="1"/>
    <n v="12"/>
    <s v="2.1"/>
    <n v="12"/>
    <n v="6"/>
    <n v="3"/>
    <n v="50000"/>
    <n v="25000"/>
    <n v="10000"/>
    <m/>
    <s v="Fonctionnement"/>
    <s v="Complets"/>
    <n v="12"/>
    <s v="EC01"/>
    <n v="21"/>
    <n v="144000"/>
    <n v="28800"/>
    <n v="50000"/>
    <n v="25000"/>
    <n v="10000"/>
    <n v="257800"/>
    <n v="0"/>
    <n v="257800"/>
  </r>
  <r>
    <s v="LOT 2"/>
    <m/>
    <n v="1"/>
    <s v="Faisabilité brique techno"/>
    <x v="1"/>
    <n v="1"/>
    <n v="12"/>
    <s v="2.1"/>
    <n v="6"/>
    <n v="3"/>
    <m/>
    <n v="15000"/>
    <n v="5000"/>
    <n v="5000"/>
    <m/>
    <s v="Fonctionnement"/>
    <s v="Complets"/>
    <n v="12"/>
    <s v="EC01"/>
    <n v="9"/>
    <n v="60000"/>
    <n v="12000"/>
    <n v="15000"/>
    <n v="5000"/>
    <n v="5000"/>
    <n v="97000"/>
    <n v="0"/>
    <n v="97000"/>
  </r>
  <r>
    <s v="LOT 2"/>
    <m/>
    <n v="1"/>
    <s v="Faisabilité brique techno"/>
    <x v="2"/>
    <n v="1"/>
    <n v="12"/>
    <s v="2.1"/>
    <n v="6"/>
    <n v="3"/>
    <m/>
    <n v="2500"/>
    <n v="2500"/>
    <n v="2500"/>
    <m/>
    <s v="Fonctionnement"/>
    <s v="Complets"/>
    <n v="12"/>
    <s v="EC01"/>
    <n v="9"/>
    <n v="67500"/>
    <n v="13500"/>
    <n v="2500"/>
    <n v="2500"/>
    <n v="2500"/>
    <n v="88500"/>
    <n v="0"/>
    <n v="88500"/>
  </r>
  <r>
    <s v="LOT 2"/>
    <m/>
    <n v="1"/>
    <s v="Faisabilité brique techno"/>
    <x v="3"/>
    <n v="1"/>
    <n v="12"/>
    <s v="2.2"/>
    <n v="6"/>
    <n v="3"/>
    <m/>
    <n v="2500"/>
    <n v="2500"/>
    <n v="2500"/>
    <m/>
    <s v="Fonctionnement"/>
    <s v="Complets"/>
    <n v="12"/>
    <s v="EC01"/>
    <n v="9"/>
    <n v="52500"/>
    <n v="10500"/>
    <n v="2500"/>
    <n v="2500"/>
    <n v="2500"/>
    <n v="70500"/>
    <n v="0"/>
    <n v="70500"/>
  </r>
  <r>
    <s v="LOT 2"/>
    <m/>
    <n v="1"/>
    <s v="Faisabilité brique techno"/>
    <x v="4"/>
    <n v="1"/>
    <n v="12"/>
    <s v="2.3"/>
    <n v="6"/>
    <n v="3"/>
    <m/>
    <n v="2500"/>
    <n v="2500"/>
    <n v="2500"/>
    <m/>
    <s v="Fonctionnement"/>
    <s v="Marginaux"/>
    <n v="12"/>
    <s v="EC01"/>
    <n v="9"/>
    <n v="52500"/>
    <n v="10500"/>
    <n v="2500"/>
    <n v="2500"/>
    <n v="2500"/>
    <n v="70500"/>
    <n v="0"/>
    <n v="70500"/>
  </r>
  <r>
    <s v="LOT 2"/>
    <m/>
    <n v="2"/>
    <s v="Recherche brique techno"/>
    <x v="0"/>
    <n v="13"/>
    <n v="24"/>
    <s v="2.2"/>
    <n v="24"/>
    <n v="12"/>
    <n v="6"/>
    <n v="100000"/>
    <n v="50000"/>
    <n v="20000"/>
    <m/>
    <s v="Fonctionnement"/>
    <s v="Complets"/>
    <n v="12"/>
    <s v="EC02"/>
    <n v="42"/>
    <n v="288000"/>
    <n v="57600"/>
    <n v="100000"/>
    <n v="50000"/>
    <n v="20000"/>
    <n v="515600"/>
    <n v="0"/>
    <n v="515600"/>
  </r>
  <r>
    <s v="LOT 2"/>
    <m/>
    <n v="2"/>
    <s v="Recherche brique techno"/>
    <x v="1"/>
    <n v="13"/>
    <n v="24"/>
    <s v="2.2"/>
    <n v="12"/>
    <n v="6"/>
    <m/>
    <n v="30000"/>
    <n v="10000"/>
    <n v="10000"/>
    <m/>
    <s v="Fonctionnement"/>
    <s v="Complets"/>
    <n v="12"/>
    <s v="EC02"/>
    <n v="18"/>
    <n v="120000"/>
    <n v="24000"/>
    <n v="30000"/>
    <n v="10000"/>
    <n v="10000"/>
    <n v="194000"/>
    <n v="0"/>
    <n v="194000"/>
  </r>
  <r>
    <s v="LOT 2"/>
    <m/>
    <n v="2"/>
    <s v="Recherche brique techno"/>
    <x v="2"/>
    <n v="13"/>
    <n v="24"/>
    <s v="2.2"/>
    <n v="12"/>
    <n v="6"/>
    <m/>
    <n v="5000"/>
    <n v="5000"/>
    <n v="5000"/>
    <m/>
    <s v="Fonctionnement"/>
    <s v="Complets"/>
    <n v="12"/>
    <s v="EC02"/>
    <n v="18"/>
    <n v="135000"/>
    <n v="27000"/>
    <n v="5000"/>
    <n v="5000"/>
    <n v="5000"/>
    <n v="177000"/>
    <n v="0"/>
    <n v="177000"/>
  </r>
  <r>
    <s v="LOT 2"/>
    <m/>
    <n v="2"/>
    <s v="Recherche brique techno"/>
    <x v="3"/>
    <n v="13"/>
    <n v="24"/>
    <s v="2.2"/>
    <n v="12"/>
    <m/>
    <m/>
    <m/>
    <m/>
    <n v="1000"/>
    <m/>
    <s v="Fonctionnement"/>
    <s v="Complets"/>
    <n v="12"/>
    <s v="EC02"/>
    <n v="12"/>
    <n v="72000"/>
    <n v="14400"/>
    <n v="0"/>
    <n v="0"/>
    <n v="1000"/>
    <n v="87400"/>
    <n v="0"/>
    <n v="87400"/>
  </r>
  <r>
    <s v="LOT 2"/>
    <m/>
    <n v="2"/>
    <s v="Recherche brique techno"/>
    <x v="4"/>
    <n v="13"/>
    <n v="24"/>
    <s v="2.2"/>
    <n v="12"/>
    <m/>
    <m/>
    <m/>
    <m/>
    <n v="1000"/>
    <m/>
    <s v="Fonctionnement"/>
    <s v="Marginaux"/>
    <n v="12"/>
    <s v="EC02"/>
    <n v="12"/>
    <n v="72000"/>
    <n v="14400"/>
    <n v="0"/>
    <n v="0"/>
    <n v="1000"/>
    <n v="87400"/>
    <n v="0"/>
    <n v="87400"/>
  </r>
  <r>
    <s v="LOT 3"/>
    <m/>
    <n v="3"/>
    <s v="Prototype produit A"/>
    <x v="0"/>
    <n v="25"/>
    <n v="36"/>
    <s v="3.3"/>
    <n v="48"/>
    <n v="24"/>
    <n v="12"/>
    <n v="200000"/>
    <n v="100000"/>
    <n v="40000"/>
    <m/>
    <s v="Fonctionnement"/>
    <s v="Complets"/>
    <n v="12"/>
    <s v="EC03"/>
    <n v="84"/>
    <n v="576000"/>
    <n v="115200"/>
    <n v="200000"/>
    <n v="100000"/>
    <n v="40000"/>
    <n v="1031200"/>
    <n v="0"/>
    <n v="1031200"/>
  </r>
  <r>
    <s v="LOT 3"/>
    <m/>
    <n v="3"/>
    <s v="Prototype produit A"/>
    <x v="1"/>
    <n v="25"/>
    <n v="36"/>
    <s v="3.3"/>
    <n v="24"/>
    <n v="12"/>
    <m/>
    <n v="60000"/>
    <n v="20000"/>
    <n v="20000"/>
    <m/>
    <s v="Fonctionnement"/>
    <s v="Complets"/>
    <n v="12"/>
    <s v="EC03"/>
    <n v="36"/>
    <n v="240000"/>
    <n v="48000"/>
    <n v="60000"/>
    <n v="20000"/>
    <n v="20000"/>
    <n v="388000"/>
    <n v="0"/>
    <n v="388000"/>
  </r>
  <r>
    <s v="LOT 3"/>
    <m/>
    <n v="3"/>
    <s v="Prototype produit A"/>
    <x v="2"/>
    <n v="25"/>
    <n v="36"/>
    <s v="3.3"/>
    <n v="24"/>
    <n v="12"/>
    <m/>
    <n v="10000"/>
    <n v="10000"/>
    <n v="10000"/>
    <m/>
    <s v="Fonctionnement"/>
    <s v="Complets"/>
    <n v="12"/>
    <s v="EC03"/>
    <n v="36"/>
    <n v="270000"/>
    <n v="54000"/>
    <n v="10000"/>
    <n v="10000"/>
    <n v="10000"/>
    <n v="354000"/>
    <n v="0"/>
    <n v="354000"/>
  </r>
  <r>
    <s v="LOT 4"/>
    <m/>
    <n v="1"/>
    <s v="Innovation procédé fabrication"/>
    <x v="0"/>
    <n v="1"/>
    <n v="12"/>
    <s v="4.1"/>
    <n v="12"/>
    <n v="6"/>
    <n v="3"/>
    <n v="50000"/>
    <n v="25000"/>
    <n v="10000"/>
    <m/>
    <s v="Fonctionnement"/>
    <s v="Complets"/>
    <n v="12"/>
    <s v="EC01"/>
    <n v="21"/>
    <n v="144000"/>
    <n v="28800"/>
    <n v="50000"/>
    <n v="25000"/>
    <n v="10000"/>
    <n v="257800"/>
    <n v="0"/>
    <n v="257800"/>
  </r>
  <r>
    <s v="LOT 4"/>
    <m/>
    <n v="1"/>
    <s v="Innovation procédé fabrication"/>
    <x v="1"/>
    <n v="1"/>
    <n v="12"/>
    <s v="4.1"/>
    <n v="6"/>
    <n v="3"/>
    <m/>
    <n v="15000"/>
    <n v="5000"/>
    <n v="5000"/>
    <m/>
    <s v="Fonctionnement"/>
    <s v="Complets"/>
    <n v="12"/>
    <s v="EC01"/>
    <n v="9"/>
    <n v="60000"/>
    <n v="12000"/>
    <n v="15000"/>
    <n v="5000"/>
    <n v="5000"/>
    <n v="97000"/>
    <n v="0"/>
    <n v="97000"/>
  </r>
  <r>
    <s v="LOT 4"/>
    <m/>
    <n v="2"/>
    <s v="Détachement de personnel de ZED chez IXE"/>
    <x v="0"/>
    <n v="13"/>
    <n v="24"/>
    <s v="4.2"/>
    <m/>
    <m/>
    <m/>
    <n v="100000"/>
    <m/>
    <m/>
    <m/>
    <s v="Fonctionnement"/>
    <s v="Complets"/>
    <n v="12"/>
    <s v="EC02"/>
    <n v="0"/>
    <n v="0"/>
    <n v="0"/>
    <n v="100000"/>
    <n v="0"/>
    <n v="0"/>
    <n v="100000"/>
    <n v="0"/>
    <n v="100000"/>
  </r>
  <r>
    <s v="LOT 4"/>
    <m/>
    <n v="2"/>
    <s v="Détachement de personnel de ZED chez IGREC"/>
    <x v="1"/>
    <n v="13"/>
    <n v="24"/>
    <s v="4.2"/>
    <m/>
    <m/>
    <m/>
    <n v="30000"/>
    <m/>
    <m/>
    <m/>
    <s v="Fonctionnement"/>
    <s v="Complets"/>
    <n v="12"/>
    <s v="EC02"/>
    <n v="0"/>
    <n v="0"/>
    <n v="0"/>
    <n v="30000"/>
    <n v="0"/>
    <n v="0"/>
    <n v="30000"/>
    <n v="0"/>
    <n v="30000"/>
  </r>
  <r>
    <s v="LOT 5"/>
    <m/>
    <n v="3"/>
    <s v="Investissement four"/>
    <x v="0"/>
    <n v="25"/>
    <n v="36"/>
    <s v="4.3"/>
    <m/>
    <m/>
    <m/>
    <m/>
    <m/>
    <m/>
    <n v="250000"/>
    <s v="Investissement"/>
    <s v="Complets"/>
    <n v="12"/>
    <s v="EC03"/>
    <n v="0"/>
    <n v="0"/>
    <n v="0"/>
    <n v="0"/>
    <n v="0"/>
    <n v="0"/>
    <n v="0"/>
    <n v="250000"/>
    <n v="250000"/>
  </r>
  <r>
    <s v="LOT 5"/>
    <m/>
    <n v="3"/>
    <s v="Investissement laser"/>
    <x v="1"/>
    <n v="25"/>
    <n v="36"/>
    <s v="4.3"/>
    <m/>
    <m/>
    <m/>
    <m/>
    <m/>
    <m/>
    <n v="700000"/>
    <s v="Investissement"/>
    <s v="Complets"/>
    <n v="12"/>
    <s v="EC03"/>
    <n v="0"/>
    <n v="0"/>
    <n v="0"/>
    <n v="0"/>
    <n v="0"/>
    <n v="0"/>
    <n v="0"/>
    <n v="700000"/>
    <n v="700000"/>
  </r>
  <r>
    <s v="LOT 6"/>
    <m/>
    <n v="4"/>
    <s v="Foire DRUPA"/>
    <x v="0"/>
    <n v="25"/>
    <n v="36"/>
    <s v="4.3"/>
    <n v="12"/>
    <m/>
    <m/>
    <n v="25000"/>
    <m/>
    <n v="5000"/>
    <m/>
    <s v="Fonctionnement"/>
    <s v="Complets"/>
    <n v="12"/>
    <s v="EC03"/>
    <n v="12"/>
    <n v="96000"/>
    <n v="19200"/>
    <n v="25000"/>
    <n v="0"/>
    <n v="5000"/>
    <n v="145200"/>
    <n v="0"/>
    <n v="145200"/>
  </r>
  <r>
    <s v="LOT 6"/>
    <m/>
    <n v="4"/>
    <s v="Foire SITL"/>
    <x v="1"/>
    <n v="25"/>
    <n v="36"/>
    <s v="3.4"/>
    <n v="12"/>
    <m/>
    <m/>
    <n v="30000"/>
    <m/>
    <n v="10000"/>
    <m/>
    <s v="Fonctionnement"/>
    <s v="Complets"/>
    <n v="12"/>
    <s v="EC03"/>
    <n v="12"/>
    <n v="90000"/>
    <n v="18000"/>
    <n v="30000"/>
    <n v="0"/>
    <n v="10000"/>
    <n v="148000"/>
    <n v="0"/>
    <n v="148000"/>
  </r>
</pivotCacheRecords>
</file>

<file path=xl/pivotCache/pivotCacheRecords2.xml><?xml version="1.0" encoding="utf-8"?>
<pivotCacheRecords xmlns="http://schemas.openxmlformats.org/spreadsheetml/2006/main" xmlns:r="http://schemas.openxmlformats.org/officeDocument/2006/relationships" count="24">
  <r>
    <x v="0"/>
    <x v="0"/>
    <n v="1"/>
    <s v="Gestion de projet"/>
    <x v="0"/>
    <x v="0"/>
    <x v="0"/>
    <s v="1.1"/>
    <n v="1"/>
    <m/>
    <m/>
    <m/>
    <m/>
    <n v="1000"/>
    <m/>
    <x v="0"/>
    <s v="Complets"/>
    <n v="12"/>
    <x v="0"/>
    <n v="1"/>
    <n v="8000"/>
    <n v="1600"/>
    <n v="0"/>
    <n v="0"/>
    <n v="1000"/>
    <n v="10600"/>
    <n v="0"/>
    <n v="10600"/>
  </r>
  <r>
    <x v="0"/>
    <x v="0"/>
    <n v="2"/>
    <s v="Gestion de projet"/>
    <x v="0"/>
    <x v="1"/>
    <x v="1"/>
    <s v="1.2"/>
    <n v="1"/>
    <m/>
    <m/>
    <m/>
    <m/>
    <n v="1000"/>
    <m/>
    <x v="0"/>
    <s v="Complets"/>
    <n v="6"/>
    <x v="1"/>
    <n v="1"/>
    <n v="8000"/>
    <n v="1600"/>
    <n v="0"/>
    <n v="0"/>
    <n v="1000"/>
    <n v="10600"/>
    <n v="0"/>
    <n v="10600"/>
  </r>
  <r>
    <x v="0"/>
    <x v="0"/>
    <n v="3"/>
    <s v="Gestion de projet"/>
    <x v="0"/>
    <x v="2"/>
    <x v="2"/>
    <s v="1.3"/>
    <n v="1"/>
    <m/>
    <m/>
    <m/>
    <m/>
    <n v="1000"/>
    <m/>
    <x v="0"/>
    <s v="Complets"/>
    <n v="12"/>
    <x v="2"/>
    <n v="1"/>
    <n v="8000"/>
    <n v="1600"/>
    <n v="0"/>
    <n v="0"/>
    <n v="1000"/>
    <n v="10600"/>
    <n v="0"/>
    <n v="10600"/>
  </r>
  <r>
    <x v="1"/>
    <x v="0"/>
    <n v="1"/>
    <s v="Faisabilité brique techno"/>
    <x v="0"/>
    <x v="0"/>
    <x v="0"/>
    <s v="2.1"/>
    <n v="12"/>
    <n v="6"/>
    <n v="3"/>
    <n v="50000"/>
    <n v="25000"/>
    <n v="10000"/>
    <m/>
    <x v="0"/>
    <s v="Complets"/>
    <n v="12"/>
    <x v="0"/>
    <n v="21"/>
    <n v="144000"/>
    <n v="28800"/>
    <n v="50000"/>
    <n v="25000"/>
    <n v="10000"/>
    <n v="257800"/>
    <n v="0"/>
    <n v="257800"/>
  </r>
  <r>
    <x v="1"/>
    <x v="0"/>
    <n v="1"/>
    <s v="Faisabilité brique techno"/>
    <x v="1"/>
    <x v="0"/>
    <x v="0"/>
    <s v="2.1"/>
    <n v="6"/>
    <n v="3"/>
    <m/>
    <n v="15000"/>
    <n v="5000"/>
    <n v="5000"/>
    <m/>
    <x v="0"/>
    <s v="Complets"/>
    <n v="12"/>
    <x v="0"/>
    <n v="9"/>
    <n v="60000"/>
    <n v="12000"/>
    <n v="15000"/>
    <n v="5000"/>
    <n v="5000"/>
    <n v="97000"/>
    <n v="0"/>
    <n v="97000"/>
  </r>
  <r>
    <x v="1"/>
    <x v="0"/>
    <n v="1"/>
    <s v="Faisabilité brique techno"/>
    <x v="2"/>
    <x v="0"/>
    <x v="0"/>
    <s v="2.1"/>
    <n v="6"/>
    <n v="3"/>
    <m/>
    <n v="2500"/>
    <n v="2500"/>
    <n v="2500"/>
    <m/>
    <x v="0"/>
    <s v="Complets"/>
    <n v="12"/>
    <x v="0"/>
    <n v="9"/>
    <n v="67500"/>
    <n v="13500"/>
    <n v="2500"/>
    <n v="2500"/>
    <n v="2500"/>
    <n v="88500"/>
    <n v="0"/>
    <n v="88500"/>
  </r>
  <r>
    <x v="1"/>
    <x v="0"/>
    <n v="1"/>
    <s v="Faisabilité brique techno"/>
    <x v="3"/>
    <x v="0"/>
    <x v="0"/>
    <s v="2.2"/>
    <n v="6"/>
    <n v="3"/>
    <m/>
    <n v="2500"/>
    <n v="2500"/>
    <n v="2500"/>
    <m/>
    <x v="0"/>
    <s v="Complets"/>
    <n v="12"/>
    <x v="0"/>
    <n v="9"/>
    <n v="52500"/>
    <n v="10500"/>
    <n v="2500"/>
    <n v="2500"/>
    <n v="2500"/>
    <n v="70500"/>
    <n v="0"/>
    <n v="70500"/>
  </r>
  <r>
    <x v="1"/>
    <x v="0"/>
    <n v="1"/>
    <s v="Faisabilité brique techno"/>
    <x v="4"/>
    <x v="0"/>
    <x v="0"/>
    <s v="2.3"/>
    <n v="6"/>
    <n v="3"/>
    <m/>
    <n v="2500"/>
    <n v="2500"/>
    <n v="2500"/>
    <m/>
    <x v="0"/>
    <s v="Marginaux"/>
    <n v="12"/>
    <x v="0"/>
    <n v="9"/>
    <n v="52500"/>
    <n v="10500"/>
    <n v="2500"/>
    <n v="2500"/>
    <n v="2500"/>
    <n v="70500"/>
    <n v="0"/>
    <n v="70500"/>
  </r>
  <r>
    <x v="1"/>
    <x v="0"/>
    <n v="2"/>
    <s v="Recherche brique techno"/>
    <x v="0"/>
    <x v="1"/>
    <x v="3"/>
    <s v="2.2"/>
    <n v="24"/>
    <n v="12"/>
    <n v="6"/>
    <n v="100000"/>
    <n v="50000"/>
    <n v="20000"/>
    <m/>
    <x v="0"/>
    <s v="Complets"/>
    <n v="12"/>
    <x v="1"/>
    <n v="42"/>
    <n v="288000"/>
    <n v="57600"/>
    <n v="100000"/>
    <n v="50000"/>
    <n v="20000"/>
    <n v="515600"/>
    <n v="0"/>
    <n v="515600"/>
  </r>
  <r>
    <x v="1"/>
    <x v="0"/>
    <n v="2"/>
    <s v="Recherche brique techno"/>
    <x v="1"/>
    <x v="1"/>
    <x v="3"/>
    <s v="2.2"/>
    <n v="12"/>
    <n v="6"/>
    <m/>
    <n v="30000"/>
    <n v="10000"/>
    <n v="10000"/>
    <m/>
    <x v="0"/>
    <s v="Complets"/>
    <n v="12"/>
    <x v="1"/>
    <n v="18"/>
    <n v="120000"/>
    <n v="24000"/>
    <n v="30000"/>
    <n v="10000"/>
    <n v="10000"/>
    <n v="194000"/>
    <n v="0"/>
    <n v="194000"/>
  </r>
  <r>
    <x v="1"/>
    <x v="0"/>
    <n v="2"/>
    <s v="Recherche brique techno"/>
    <x v="2"/>
    <x v="1"/>
    <x v="3"/>
    <s v="2.2"/>
    <n v="12"/>
    <n v="6"/>
    <m/>
    <n v="5000"/>
    <n v="5000"/>
    <n v="5000"/>
    <m/>
    <x v="0"/>
    <s v="Complets"/>
    <n v="12"/>
    <x v="1"/>
    <n v="18"/>
    <n v="135000"/>
    <n v="27000"/>
    <n v="5000"/>
    <n v="5000"/>
    <n v="5000"/>
    <n v="177000"/>
    <n v="0"/>
    <n v="177000"/>
  </r>
  <r>
    <x v="1"/>
    <x v="0"/>
    <n v="2"/>
    <s v="Recherche brique techno"/>
    <x v="3"/>
    <x v="1"/>
    <x v="3"/>
    <s v="2.2"/>
    <n v="12"/>
    <m/>
    <m/>
    <m/>
    <m/>
    <n v="1000"/>
    <m/>
    <x v="0"/>
    <s v="Complets"/>
    <n v="12"/>
    <x v="1"/>
    <n v="12"/>
    <n v="72000"/>
    <n v="14400"/>
    <n v="0"/>
    <n v="0"/>
    <n v="1000"/>
    <n v="87400"/>
    <n v="0"/>
    <n v="87400"/>
  </r>
  <r>
    <x v="1"/>
    <x v="0"/>
    <n v="2"/>
    <s v="Recherche brique techno"/>
    <x v="4"/>
    <x v="1"/>
    <x v="3"/>
    <s v="2.2"/>
    <n v="12"/>
    <m/>
    <m/>
    <m/>
    <m/>
    <n v="1000"/>
    <m/>
    <x v="0"/>
    <s v="Marginaux"/>
    <n v="12"/>
    <x v="1"/>
    <n v="12"/>
    <n v="72000"/>
    <n v="14400"/>
    <n v="0"/>
    <n v="0"/>
    <n v="1000"/>
    <n v="87400"/>
    <n v="0"/>
    <n v="87400"/>
  </r>
  <r>
    <x v="2"/>
    <x v="0"/>
    <n v="3"/>
    <s v="Prototype produit A"/>
    <x v="0"/>
    <x v="2"/>
    <x v="2"/>
    <s v="3.3"/>
    <n v="48"/>
    <n v="24"/>
    <n v="12"/>
    <n v="200000"/>
    <n v="100000"/>
    <n v="40000"/>
    <m/>
    <x v="0"/>
    <s v="Complets"/>
    <n v="12"/>
    <x v="2"/>
    <n v="84"/>
    <n v="576000"/>
    <n v="115200"/>
    <n v="200000"/>
    <n v="100000"/>
    <n v="40000"/>
    <n v="1031200"/>
    <n v="0"/>
    <n v="1031200"/>
  </r>
  <r>
    <x v="2"/>
    <x v="0"/>
    <n v="3"/>
    <s v="Prototype produit A"/>
    <x v="1"/>
    <x v="2"/>
    <x v="2"/>
    <s v="3.3"/>
    <n v="24"/>
    <n v="12"/>
    <m/>
    <n v="60000"/>
    <n v="20000"/>
    <n v="20000"/>
    <m/>
    <x v="0"/>
    <s v="Complets"/>
    <n v="12"/>
    <x v="2"/>
    <n v="36"/>
    <n v="240000"/>
    <n v="48000"/>
    <n v="60000"/>
    <n v="20000"/>
    <n v="20000"/>
    <n v="388000"/>
    <n v="0"/>
    <n v="388000"/>
  </r>
  <r>
    <x v="2"/>
    <x v="0"/>
    <n v="3"/>
    <s v="Prototype produit A"/>
    <x v="2"/>
    <x v="2"/>
    <x v="2"/>
    <s v="3.3"/>
    <n v="24"/>
    <n v="12"/>
    <m/>
    <n v="10000"/>
    <n v="10000"/>
    <n v="10000"/>
    <m/>
    <x v="0"/>
    <s v="Complets"/>
    <n v="12"/>
    <x v="2"/>
    <n v="36"/>
    <n v="270000"/>
    <n v="54000"/>
    <n v="10000"/>
    <n v="10000"/>
    <n v="10000"/>
    <n v="354000"/>
    <n v="0"/>
    <n v="354000"/>
  </r>
  <r>
    <x v="3"/>
    <x v="0"/>
    <n v="1"/>
    <s v="Innovation procédé fabrication"/>
    <x v="0"/>
    <x v="0"/>
    <x v="0"/>
    <s v="4.1"/>
    <n v="12"/>
    <n v="6"/>
    <n v="3"/>
    <n v="50000"/>
    <n v="25000"/>
    <n v="10000"/>
    <m/>
    <x v="0"/>
    <s v="Complets"/>
    <n v="12"/>
    <x v="0"/>
    <n v="21"/>
    <n v="144000"/>
    <n v="28800"/>
    <n v="50000"/>
    <n v="25000"/>
    <n v="10000"/>
    <n v="257800"/>
    <n v="0"/>
    <n v="257800"/>
  </r>
  <r>
    <x v="3"/>
    <x v="0"/>
    <n v="1"/>
    <s v="Innovation procédé fabrication"/>
    <x v="1"/>
    <x v="0"/>
    <x v="0"/>
    <s v="4.1"/>
    <n v="6"/>
    <n v="3"/>
    <m/>
    <n v="15000"/>
    <n v="5000"/>
    <n v="5000"/>
    <m/>
    <x v="0"/>
    <s v="Complets"/>
    <n v="12"/>
    <x v="0"/>
    <n v="9"/>
    <n v="60000"/>
    <n v="12000"/>
    <n v="15000"/>
    <n v="5000"/>
    <n v="5000"/>
    <n v="97000"/>
    <n v="0"/>
    <n v="97000"/>
  </r>
  <r>
    <x v="3"/>
    <x v="0"/>
    <n v="2"/>
    <s v="Détachement de personnel de ZED chez IXE"/>
    <x v="0"/>
    <x v="1"/>
    <x v="3"/>
    <s v="4.2"/>
    <m/>
    <m/>
    <m/>
    <n v="100000"/>
    <m/>
    <m/>
    <m/>
    <x v="0"/>
    <s v="Complets"/>
    <n v="12"/>
    <x v="1"/>
    <n v="0"/>
    <n v="0"/>
    <n v="0"/>
    <n v="100000"/>
    <n v="0"/>
    <n v="0"/>
    <n v="100000"/>
    <n v="0"/>
    <n v="100000"/>
  </r>
  <r>
    <x v="3"/>
    <x v="0"/>
    <n v="2"/>
    <s v="Détachement de personnel de ZED chez IGREC"/>
    <x v="1"/>
    <x v="1"/>
    <x v="3"/>
    <s v="4.2"/>
    <m/>
    <m/>
    <m/>
    <n v="30000"/>
    <m/>
    <m/>
    <m/>
    <x v="0"/>
    <s v="Complets"/>
    <n v="12"/>
    <x v="1"/>
    <n v="0"/>
    <n v="0"/>
    <n v="0"/>
    <n v="30000"/>
    <n v="0"/>
    <n v="0"/>
    <n v="30000"/>
    <n v="0"/>
    <n v="30000"/>
  </r>
  <r>
    <x v="4"/>
    <x v="0"/>
    <n v="3"/>
    <s v="Investissement four"/>
    <x v="0"/>
    <x v="2"/>
    <x v="2"/>
    <s v="4.3"/>
    <m/>
    <m/>
    <m/>
    <m/>
    <m/>
    <m/>
    <n v="250000"/>
    <x v="1"/>
    <s v="Complets"/>
    <n v="12"/>
    <x v="2"/>
    <n v="0"/>
    <n v="0"/>
    <n v="0"/>
    <n v="0"/>
    <n v="0"/>
    <n v="0"/>
    <n v="0"/>
    <n v="250000"/>
    <n v="250000"/>
  </r>
  <r>
    <x v="4"/>
    <x v="0"/>
    <n v="3"/>
    <s v="Investissement laser"/>
    <x v="1"/>
    <x v="2"/>
    <x v="2"/>
    <s v="4.3"/>
    <m/>
    <m/>
    <m/>
    <m/>
    <m/>
    <m/>
    <n v="700000"/>
    <x v="1"/>
    <s v="Complets"/>
    <n v="12"/>
    <x v="2"/>
    <n v="0"/>
    <n v="0"/>
    <n v="0"/>
    <n v="0"/>
    <n v="0"/>
    <n v="0"/>
    <n v="0"/>
    <n v="700000"/>
    <n v="700000"/>
  </r>
  <r>
    <x v="5"/>
    <x v="0"/>
    <n v="4"/>
    <s v="Foire DRUPA"/>
    <x v="0"/>
    <x v="2"/>
    <x v="2"/>
    <s v="4.3"/>
    <n v="12"/>
    <m/>
    <m/>
    <n v="25000"/>
    <m/>
    <n v="5000"/>
    <m/>
    <x v="0"/>
    <s v="Complets"/>
    <n v="12"/>
    <x v="2"/>
    <n v="12"/>
    <n v="96000"/>
    <n v="19200"/>
    <n v="25000"/>
    <n v="0"/>
    <n v="5000"/>
    <n v="145200"/>
    <n v="0"/>
    <n v="145200"/>
  </r>
  <r>
    <x v="5"/>
    <x v="0"/>
    <n v="4"/>
    <s v="Foire SITL"/>
    <x v="1"/>
    <x v="2"/>
    <x v="2"/>
    <s v="3.4"/>
    <n v="12"/>
    <m/>
    <m/>
    <n v="30000"/>
    <m/>
    <n v="10000"/>
    <m/>
    <x v="0"/>
    <s v="Complets"/>
    <n v="12"/>
    <x v="2"/>
    <n v="12"/>
    <n v="90000"/>
    <n v="18000"/>
    <n v="30000"/>
    <n v="0"/>
    <n v="10000"/>
    <n v="148000"/>
    <n v="0"/>
    <n v="148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eau croisé dynamique1" cacheId="13" applyNumberFormats="0" applyBorderFormats="0" applyFontFormats="0" applyPatternFormats="0" applyAlignmentFormats="0" applyWidthHeightFormats="1" dataCaption="Données" errorCaption="#ERR" showError="1" missingCaption="0" updatedVersion="5" minRefreshableVersion="3" asteriskTotals="1" showMemberPropertyTips="0" itemPrintTitles="1" createdVersion="3" indent="0" compact="0" compactData="0" gridDropZones="1">
  <location ref="A4:F13" firstHeaderRow="1" firstDataRow="2" firstDataCol="2"/>
  <pivotFields count="30">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axis="axisRow" compact="0" outline="0" subtotalTop="0" showAll="0" includeNewItemsInFilter="1">
      <items count="6">
        <item x="0"/>
        <item x="1"/>
        <item x="2"/>
        <item x="3"/>
        <item x="4"/>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numFmtId="164" outline="0" subtotalTop="0" showAll="0" includeNewItemsInFilter="1"/>
    <pivotField compact="0" numFmtId="164" outline="0" subtotalTop="0" showAll="0" includeNewItemsInFilter="1"/>
    <pivotField compact="0" numFmtId="164" outline="0" subtotalTop="0" showAll="0" includeNewItemsInFilter="1"/>
    <pivotField compact="0" outline="0" subtotalTop="0" showAll="0" includeNewItemsInFilter="1"/>
    <pivotField compact="0" numFmtId="165" outline="0" subtotalTop="0" showAll="0" includeNewItemsInFilter="1"/>
    <pivotField compact="0" outline="0" showAll="0" defaultSubtotal="0"/>
    <pivotField compact="0" outline="0" showAll="0" defaultSubtotal="0"/>
    <pivotField axis="axisRow" compact="0" outline="0" showAll="0" defaultSubtotal="0">
      <items count="2">
        <item x="0"/>
        <item x="1"/>
      </items>
    </pivotField>
    <pivotField compact="0" outline="0" showAll="0" defaultSubtotal="0"/>
    <pivotField compact="0" outline="0" showAll="0" defaultSubtotal="0"/>
    <pivotField axis="axisCol" compact="0" outline="0" subtotalTop="0" showAll="0" includeNewItemsInFilter="1">
      <items count="4">
        <item x="0"/>
        <item x="1"/>
        <item x="2"/>
        <item t="default"/>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ubtotalTop="0" showAll="0" includeNewItemsInFilter="1"/>
    <pivotField compact="0" outline="0" showAll="0" defaultSubtotal="0"/>
    <pivotField compact="0" outline="0" showAll="0" defaultSubtotal="0"/>
    <pivotField dataField="1" compact="0" outline="0" showAll="0"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2">
    <field x="15"/>
    <field x="4"/>
  </rowFields>
  <rowItems count="8">
    <i>
      <x/>
      <x/>
    </i>
    <i r="1">
      <x v="1"/>
    </i>
    <i r="1">
      <x v="2"/>
    </i>
    <i r="1">
      <x v="3"/>
    </i>
    <i r="1">
      <x v="4"/>
    </i>
    <i>
      <x v="1"/>
      <x/>
    </i>
    <i r="1">
      <x v="1"/>
    </i>
    <i t="grand">
      <x/>
    </i>
  </rowItems>
  <colFields count="1">
    <field x="18"/>
  </colFields>
  <colItems count="4">
    <i>
      <x/>
    </i>
    <i>
      <x v="1"/>
    </i>
    <i>
      <x v="2"/>
    </i>
    <i t="grand">
      <x/>
    </i>
  </colItems>
  <dataFields count="1">
    <dataField name="Somme de Coûts totaux" fld="27" baseField="0" baseItem="0"/>
  </dataFields>
  <formats count="10">
    <format dxfId="178">
      <pivotArea grandRow="1" outline="0" fieldPosition="0"/>
    </format>
    <format dxfId="177">
      <pivotArea dataOnly="0" labelOnly="1" grandRow="1" outline="0" fieldPosition="0"/>
    </format>
    <format dxfId="176">
      <pivotArea grandRow="1" outline="0" fieldPosition="0"/>
    </format>
    <format dxfId="175">
      <pivotArea dataOnly="0" labelOnly="1" grandRow="1" outline="0" fieldPosition="0"/>
    </format>
    <format dxfId="174">
      <pivotArea grandRow="1" outline="0" fieldPosition="0"/>
    </format>
    <format dxfId="173">
      <pivotArea dataOnly="0" labelOnly="1" grandRow="1" outline="0" fieldPosition="0"/>
    </format>
    <format dxfId="172">
      <pivotArea outline="0" fieldPosition="0"/>
    </format>
    <format dxfId="171">
      <pivotArea type="origin" dataOnly="0" labelOnly="1" outline="0" fieldPosition="0"/>
    </format>
    <format dxfId="170">
      <pivotArea field="4" type="button" dataOnly="0" labelOnly="1" outline="0" axis="axisRow" fieldPosition="2"/>
    </format>
    <format dxfId="169">
      <pivotArea dataOnly="0" labelOnly="1" grandRow="1" outline="0" offset="B256:IV256" fieldPosition="0"/>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Tableau croisé dynamique1" cacheId="4" applyNumberFormats="0" applyBorderFormats="0" applyFontFormats="0" applyPatternFormats="0" applyAlignmentFormats="0" applyWidthHeightFormats="1" dataCaption="Données" errorCaption="#ERR" showError="1" missingCaption="0" updatedVersion="5" minRefreshableVersion="3" asteriskTotals="1" showMemberPropertyTips="0" itemPrintTitles="1" createdVersion="3" indent="0" compact="0" compactData="0" gridDropZones="1">
  <location ref="A4:I11" firstHeaderRow="1" firstDataRow="2" firstDataCol="1"/>
  <pivotFields count="30">
    <pivotField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howAll="0" defaultSubtotal="0"/>
    <pivotField axis="axisRow" compact="0" outline="0" subtotalTop="0" showAll="0" includeNewItemsInFilter="1">
      <items count="6">
        <item x="0"/>
        <item x="1"/>
        <item x="2"/>
        <item x="3"/>
        <item x="4"/>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numFmtId="164" outline="0" subtotalTop="0" showAll="0" includeNewItemsInFilter="1"/>
    <pivotField compact="0" numFmtId="164" outline="0" subtotalTop="0" showAll="0" includeNewItemsInFilter="1"/>
    <pivotField compact="0" numFmtId="164" outline="0" subtotalTop="0" showAll="0" includeNewItemsInFilter="1"/>
    <pivotField compact="0" outline="0" subtotalTop="0" showAll="0" includeNewItemsInFilter="1"/>
    <pivotField compact="0" numFmtId="165"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ubtotalTop="0" showAll="0" includeNewItemsInFilter="1"/>
    <pivotField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ubtotalTop="0" showAll="0" includeNewItemsInFilter="1"/>
    <pivotField dataField="1" compact="0" outline="0" showAll="0" defaultSubtotal="0"/>
    <pivotField dataField="1" compact="0" outline="0" showAll="0" defaultSubtotal="0"/>
    <pivotField dataField="1" compact="0" outline="0" showAll="0"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4"/>
  </rowFields>
  <rowItems count="6">
    <i>
      <x/>
    </i>
    <i>
      <x v="1"/>
    </i>
    <i>
      <x v="2"/>
    </i>
    <i>
      <x v="3"/>
    </i>
    <i>
      <x v="4"/>
    </i>
    <i t="grand">
      <x/>
    </i>
  </rowItems>
  <colFields count="1">
    <field x="-2"/>
  </colFields>
  <colItems count="8">
    <i>
      <x/>
    </i>
    <i i="1">
      <x v="1"/>
    </i>
    <i i="2">
      <x v="2"/>
    </i>
    <i i="3">
      <x v="3"/>
    </i>
    <i i="4">
      <x v="4"/>
    </i>
    <i i="5">
      <x v="5"/>
    </i>
    <i i="6">
      <x v="6"/>
    </i>
    <i i="7">
      <x v="7"/>
    </i>
  </colItems>
  <dataFields count="8">
    <dataField name="Somme de Salaires" fld="20" baseField="4" baseItem="0"/>
    <dataField name="Somme de Frais généraux" fld="21" baseField="0" baseItem="0"/>
    <dataField name="Somme de Sous-traitance" fld="22" baseField="0" baseItem="0"/>
    <dataField name="Somme de Dotations aux amortissements" fld="23" baseField="0" baseItem="0"/>
    <dataField name="Somme de Autres dépenses" fld="24" baseField="0" baseItem="0"/>
    <dataField name="Somme de Coûts de fonctionnement" fld="25" baseField="0" baseItem="0"/>
    <dataField name="Somme de Coûts d'investissement" fld="26" baseField="0" baseItem="0"/>
    <dataField name="Somme de Coûts totaux" fld="27" baseField="0" baseItem="0"/>
  </dataFields>
  <formats count="16">
    <format dxfId="167">
      <pivotArea grandRow="1" outline="0" fieldPosition="0"/>
    </format>
    <format dxfId="166">
      <pivotArea dataOnly="0" labelOnly="1" grandRow="1" outline="0" fieldPosition="0"/>
    </format>
    <format dxfId="165">
      <pivotArea grandRow="1" outline="0" fieldPosition="0"/>
    </format>
    <format dxfId="164">
      <pivotArea dataOnly="0" labelOnly="1" grandRow="1" outline="0" fieldPosition="0"/>
    </format>
    <format dxfId="163">
      <pivotArea grandRow="1" outline="0" fieldPosition="0"/>
    </format>
    <format dxfId="162">
      <pivotArea dataOnly="0" labelOnly="1" grandRow="1" outline="0" fieldPosition="0"/>
    </format>
    <format dxfId="161">
      <pivotArea outline="0" fieldPosition="0"/>
    </format>
    <format dxfId="160">
      <pivotArea type="origin" dataOnly="0" labelOnly="1" outline="0" fieldPosition="0"/>
    </format>
    <format dxfId="159">
      <pivotArea field="4" type="button" dataOnly="0" labelOnly="1" outline="0" axis="axisRow" fieldPosition="0"/>
    </format>
    <format dxfId="158">
      <pivotArea outline="0" collapsedLevelsAreSubtotals="1" fieldPosition="0"/>
    </format>
    <format dxfId="157">
      <pivotArea field="4" type="button" dataOnly="0" labelOnly="1" outline="0" axis="axisRow" fieldPosition="0"/>
    </format>
    <format dxfId="156">
      <pivotArea dataOnly="0" labelOnly="1" outline="0" fieldPosition="0">
        <references count="1">
          <reference field="4" count="0"/>
        </references>
      </pivotArea>
    </format>
    <format dxfId="155">
      <pivotArea dataOnly="0" labelOnly="1" grandRow="1" outline="0" fieldPosition="0"/>
    </format>
    <format dxfId="154">
      <pivotArea dataOnly="0" labelOnly="1" outline="0" fieldPosition="0">
        <references count="1">
          <reference field="4294967294" count="2">
            <x v="0"/>
            <x v="1"/>
          </reference>
        </references>
      </pivotArea>
    </format>
    <format dxfId="153">
      <pivotArea dataOnly="0" labelOnly="1" outline="0" fieldPosition="0">
        <references count="1">
          <reference field="4294967294" count="1">
            <x v="2"/>
          </reference>
        </references>
      </pivotArea>
    </format>
    <format dxfId="152">
      <pivotArea dataOnly="0" labelOnly="1" outline="0" fieldPosition="0">
        <references count="1">
          <reference field="4294967294" count="5">
            <x v="3"/>
            <x v="4"/>
            <x v="5"/>
            <x v="6"/>
            <x v="7"/>
          </reference>
        </references>
      </pivotArea>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Tableau croisé dynamique1" cacheId="13" applyNumberFormats="0" applyBorderFormats="0" applyFontFormats="0" applyPatternFormats="0" applyAlignmentFormats="0" applyWidthHeightFormats="1" dataCaption="Données" errorCaption="#ERR" showError="1" missingCaption="0" updatedVersion="5" minRefreshableVersion="3" showMemberPropertyTips="0" itemPrintTitles="1" createdVersion="3" indent="0" compact="0" compactData="0" gridDropZones="1">
  <location ref="A4:J12" firstHeaderRow="1" firstDataRow="2" firstDataCol="2"/>
  <pivotFields count="30">
    <pivotField axis="axisRow" compact="0" outline="0" subtotalTop="0" showAll="0" includeNewItemsInFilter="1" defaultSubtotal="0">
      <items count="6">
        <item x="0"/>
        <item x="1"/>
        <item x="2"/>
        <item x="3"/>
        <item x="4"/>
        <item x="5"/>
      </items>
    </pivotField>
    <pivotField axis="axisRow" compact="0" outline="0" subtotalTop="0" showAll="0" includeNewItemsInFilter="1" sortType="ascending" defaultSubtotal="0">
      <items count="1">
        <item x="0"/>
      </items>
    </pivotField>
    <pivotField compact="0" outline="0" subtotalTop="0" showAll="0" includeNewItemsInFilter="1" defaultSubtotal="0"/>
    <pivotField compact="0" outline="0" showAll="0" defaultSubtotal="0"/>
    <pivotField compact="0" outline="0" subtotalTop="0" showAll="0" includeNewItemsInFilter="1">
      <items count="6">
        <item x="0"/>
        <item x="1"/>
        <item x="2"/>
        <item x="3"/>
        <item x="4"/>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numFmtId="164" outline="0" subtotalTop="0" showAll="0" includeNewItemsInFilter="1"/>
    <pivotField compact="0" numFmtId="164" outline="0" subtotalTop="0" showAll="0" includeNewItemsInFilter="1"/>
    <pivotField compact="0" numFmtId="164" outline="0" subtotalTop="0" showAll="0" includeNewItemsInFilter="1"/>
    <pivotField compact="0" outline="0" subtotalTop="0" showAll="0" includeNewItemsInFilter="1"/>
    <pivotField compact="0" numFmtId="165"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ubtotalTop="0" showAll="0" includeNewItemsInFilter="1"/>
    <pivotField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ubtotalTop="0" showAll="0" includeNewItemsInFilter="1"/>
    <pivotField dataField="1" compact="0" outline="0" showAll="0" defaultSubtotal="0"/>
    <pivotField dataField="1" compact="0" outline="0" showAll="0" defaultSubtotal="0"/>
    <pivotField dataField="1" compact="0" outline="0" showAll="0"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2">
    <field x="0"/>
    <field x="1"/>
  </rowFields>
  <rowItems count="7">
    <i>
      <x/>
      <x/>
    </i>
    <i>
      <x v="1"/>
      <x/>
    </i>
    <i>
      <x v="2"/>
      <x/>
    </i>
    <i>
      <x v="3"/>
      <x/>
    </i>
    <i>
      <x v="4"/>
      <x/>
    </i>
    <i>
      <x v="5"/>
      <x/>
    </i>
    <i t="grand">
      <x/>
    </i>
  </rowItems>
  <colFields count="1">
    <field x="-2"/>
  </colFields>
  <colItems count="8">
    <i>
      <x/>
    </i>
    <i i="1">
      <x v="1"/>
    </i>
    <i i="2">
      <x v="2"/>
    </i>
    <i i="3">
      <x v="3"/>
    </i>
    <i i="4">
      <x v="4"/>
    </i>
    <i i="5">
      <x v="5"/>
    </i>
    <i i="6">
      <x v="6"/>
    </i>
    <i i="7">
      <x v="7"/>
    </i>
  </colItems>
  <dataFields count="8">
    <dataField name="Somme de Salaires" fld="20" baseField="0" baseItem="0"/>
    <dataField name="Somme de Frais généraux" fld="21" baseField="0" baseItem="0"/>
    <dataField name="Somme de Sous-traitance" fld="22" baseField="0" baseItem="0"/>
    <dataField name="Somme de Dotations aux amortissements" fld="23" baseField="0" baseItem="0"/>
    <dataField name="Somme de Autres dépenses" fld="24" baseField="0" baseItem="0"/>
    <dataField name="Somme de Coûts de fonctionnement" fld="25" baseField="0" baseItem="0"/>
    <dataField name="Somme de Coûts d'investissement" fld="26" baseField="0" baseItem="0"/>
    <dataField name="Somme de Coûts totaux" fld="27" baseField="0" baseItem="0"/>
  </dataFields>
  <formats count="10">
    <format dxfId="150">
      <pivotArea grandRow="1" outline="0" fieldPosition="0"/>
    </format>
    <format dxfId="149">
      <pivotArea dataOnly="0" labelOnly="1" grandRow="1" outline="0" fieldPosition="0"/>
    </format>
    <format dxfId="148">
      <pivotArea grandRow="1" outline="0" fieldPosition="0"/>
    </format>
    <format dxfId="147">
      <pivotArea dataOnly="0" labelOnly="1" grandRow="1" outline="0" fieldPosition="0"/>
    </format>
    <format dxfId="146">
      <pivotArea grandRow="1" outline="0" fieldPosition="0"/>
    </format>
    <format dxfId="145">
      <pivotArea dataOnly="0" labelOnly="1" grandRow="1" outline="0" fieldPosition="0"/>
    </format>
    <format dxfId="144">
      <pivotArea outline="0" fieldPosition="0"/>
    </format>
    <format dxfId="143">
      <pivotArea type="origin" dataOnly="0" labelOnly="1" outline="0" fieldPosition="0"/>
    </format>
    <format dxfId="142">
      <pivotArea field="4" type="button" dataOnly="0" labelOnly="1" outline="0"/>
    </format>
    <format dxfId="141">
      <pivotArea dataOnly="0" labelOnly="1" outline="0" fieldPosition="0">
        <references count="1">
          <reference field="4294967294" count="8">
            <x v="0"/>
            <x v="1"/>
            <x v="2"/>
            <x v="3"/>
            <x v="4"/>
            <x v="5"/>
            <x v="6"/>
            <x v="7"/>
          </reference>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Tableau croisé dynamique1" cacheId="13" applyNumberFormats="0" applyBorderFormats="0" applyFontFormats="0" applyPatternFormats="0" applyAlignmentFormats="0" applyWidthHeightFormats="1" dataCaption="Données" errorCaption="#ERR" showError="1" missingCaption="0" updatedVersion="5" minRefreshableVersion="3" asteriskTotals="1" showMemberPropertyTips="0" itemPrintTitles="1" createdVersion="3" indent="0" compact="0" compactData="0" gridDropZones="1">
  <location ref="A4:H11" firstHeaderRow="1" firstDataRow="2" firstDataCol="1"/>
  <pivotFields count="30">
    <pivotField axis="axisCol" compact="0" outline="0" subtotalTop="0" showAll="0" includeNewItemsInFilter="1">
      <items count="7">
        <item x="0"/>
        <item x="1"/>
        <item x="2"/>
        <item x="3"/>
        <item x="4"/>
        <item x="5"/>
        <item t="default"/>
      </items>
    </pivotField>
    <pivotField compact="0" outline="0" subtotalTop="0" showAll="0" includeNewItemsInFilter="1" defaultSubtotal="0"/>
    <pivotField compact="0" outline="0" subtotalTop="0" showAll="0" includeNewItemsInFilter="1" defaultSubtotal="0"/>
    <pivotField compact="0" outline="0" showAll="0" defaultSubtotal="0"/>
    <pivotField axis="axisRow" compact="0" outline="0" subtotalTop="0" showAll="0" includeNewItemsInFilter="1">
      <items count="6">
        <item x="0"/>
        <item x="1"/>
        <item x="2"/>
        <item x="3"/>
        <item x="4"/>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numFmtId="164" outline="0" subtotalTop="0" showAll="0" includeNewItemsInFilter="1"/>
    <pivotField compact="0" numFmtId="164" outline="0" subtotalTop="0" showAll="0" includeNewItemsInFilter="1"/>
    <pivotField compact="0" numFmtId="164" outline="0" subtotalTop="0" showAll="0" includeNewItemsInFilter="1"/>
    <pivotField compact="0" outline="0" subtotalTop="0" showAll="0" includeNewItemsInFilter="1"/>
    <pivotField compact="0" numFmtId="165"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ubtotalTop="0" showAll="0" includeNewItemsInFilter="1"/>
    <pivotField compact="0" outline="0" showAll="0" defaultSubtotal="0"/>
    <pivotField compact="0" outline="0" showAll="0" defaultSubtotal="0"/>
    <pivotField dataField="1" compact="0" outline="0" showAll="0"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4"/>
  </rowFields>
  <rowItems count="6">
    <i>
      <x/>
    </i>
    <i>
      <x v="1"/>
    </i>
    <i>
      <x v="2"/>
    </i>
    <i>
      <x v="3"/>
    </i>
    <i>
      <x v="4"/>
    </i>
    <i t="grand">
      <x/>
    </i>
  </rowItems>
  <colFields count="1">
    <field x="0"/>
  </colFields>
  <colItems count="7">
    <i>
      <x/>
    </i>
    <i>
      <x v="1"/>
    </i>
    <i>
      <x v="2"/>
    </i>
    <i>
      <x v="3"/>
    </i>
    <i>
      <x v="4"/>
    </i>
    <i>
      <x v="5"/>
    </i>
    <i t="grand">
      <x/>
    </i>
  </colItems>
  <dataFields count="1">
    <dataField name="Somme de Coûts totaux" fld="27" baseField="0" baseItem="0"/>
  </dataFields>
  <formats count="9">
    <format dxfId="139">
      <pivotArea grandRow="1" outline="0" fieldPosition="0"/>
    </format>
    <format dxfId="138">
      <pivotArea dataOnly="0" labelOnly="1" grandRow="1" outline="0" fieldPosition="0"/>
    </format>
    <format dxfId="137">
      <pivotArea grandRow="1" outline="0" fieldPosition="0"/>
    </format>
    <format dxfId="136">
      <pivotArea dataOnly="0" labelOnly="1" grandRow="1" outline="0" fieldPosition="0"/>
    </format>
    <format dxfId="135">
      <pivotArea grandRow="1" outline="0" fieldPosition="0"/>
    </format>
    <format dxfId="134">
      <pivotArea dataOnly="0" labelOnly="1" grandRow="1" outline="0" fieldPosition="0"/>
    </format>
    <format dxfId="133">
      <pivotArea outline="0" fieldPosition="0"/>
    </format>
    <format dxfId="132">
      <pivotArea type="origin" dataOnly="0" labelOnly="1" outline="0" fieldPosition="0"/>
    </format>
    <format dxfId="131">
      <pivotArea field="4" type="button" dataOnly="0" labelOnly="1" outline="0" axis="axisRow" fieldPosition="0"/>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Tableau croisé dynamique1" cacheId="13" applyNumberFormats="0" applyBorderFormats="0" applyFontFormats="0" applyPatternFormats="0" applyAlignmentFormats="0" applyWidthHeightFormats="1" dataCaption="Données" errorCaption="#ERR" showError="1" missingCaption="0" updatedVersion="5" minRefreshableVersion="3" asteriskTotals="1" showMemberPropertyTips="0" itemPrintTitles="1" createdVersion="3" indent="0" compact="0" compactData="0" gridDropZones="1">
  <location ref="A4:C27" firstHeaderRow="2" firstDataRow="2" firstDataCol="2"/>
  <pivotFields count="30">
    <pivotField axis="axisRow" compact="0" outline="0" subtotalTop="0" showAll="0" includeNewItemsInFilter="1">
      <items count="7">
        <item x="0"/>
        <item x="1"/>
        <item x="2"/>
        <item x="3"/>
        <item x="4"/>
        <item x="5"/>
        <item t="default"/>
      </items>
    </pivotField>
    <pivotField compact="0" outline="0" subtotalTop="0" showAll="0" includeNewItemsInFilter="1"/>
    <pivotField compact="0" outline="0" subtotalTop="0" showAll="0" includeNewItemsInFilter="1"/>
    <pivotField compact="0" outline="0" showAll="0" defaultSubtotal="0"/>
    <pivotField axis="axisRow" compact="0" outline="0" subtotalTop="0" showAll="0" includeNewItemsInFilter="1">
      <items count="6">
        <item x="0"/>
        <item x="1"/>
        <item x="2"/>
        <item x="3"/>
        <item x="4"/>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numFmtId="164" outline="0" subtotalTop="0" showAll="0" includeNewItemsInFilter="1"/>
    <pivotField compact="0" numFmtId="164" outline="0" subtotalTop="0" showAll="0" includeNewItemsInFilter="1"/>
    <pivotField compact="0" numFmtId="164" outline="0" subtotalTop="0" showAll="0" includeNewItemsInFilter="1"/>
    <pivotField compact="0" outline="0" subtotalTop="0" showAll="0" includeNewItemsInFilter="1"/>
    <pivotField compact="0" numFmtId="165"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ubtotalTop="0" showAll="0" includeNewItemsInFilter="1"/>
    <pivotField compact="0" outline="0" showAll="0" defaultSubtotal="0"/>
    <pivotField compact="0" outline="0" showAll="0" defaultSubtotal="0"/>
    <pivotField dataField="1" compact="0" outline="0" showAll="0"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2">
    <field x="0"/>
    <field x="4"/>
  </rowFields>
  <rowItems count="22">
    <i>
      <x/>
      <x/>
    </i>
    <i t="default">
      <x/>
    </i>
    <i>
      <x v="1"/>
      <x/>
    </i>
    <i r="1">
      <x v="1"/>
    </i>
    <i r="1">
      <x v="2"/>
    </i>
    <i r="1">
      <x v="3"/>
    </i>
    <i r="1">
      <x v="4"/>
    </i>
    <i t="default">
      <x v="1"/>
    </i>
    <i>
      <x v="2"/>
      <x/>
    </i>
    <i r="1">
      <x v="1"/>
    </i>
    <i r="1">
      <x v="2"/>
    </i>
    <i t="default">
      <x v="2"/>
    </i>
    <i>
      <x v="3"/>
      <x/>
    </i>
    <i r="1">
      <x v="1"/>
    </i>
    <i t="default">
      <x v="3"/>
    </i>
    <i>
      <x v="4"/>
      <x/>
    </i>
    <i r="1">
      <x v="1"/>
    </i>
    <i t="default">
      <x v="4"/>
    </i>
    <i>
      <x v="5"/>
      <x/>
    </i>
    <i r="1">
      <x v="1"/>
    </i>
    <i t="default">
      <x v="5"/>
    </i>
    <i t="grand">
      <x/>
    </i>
  </rowItems>
  <colItems count="1">
    <i/>
  </colItems>
  <dataFields count="1">
    <dataField name="Somme de Coûts totaux" fld="27" baseField="0" baseItem="0"/>
  </dataFields>
  <formats count="11">
    <format dxfId="130">
      <pivotArea grandRow="1" outline="0" fieldPosition="0"/>
    </format>
    <format dxfId="129">
      <pivotArea dataOnly="0" labelOnly="1" grandRow="1" outline="0" fieldPosition="0"/>
    </format>
    <format dxfId="128">
      <pivotArea grandRow="1" outline="0" fieldPosition="0"/>
    </format>
    <format dxfId="127">
      <pivotArea dataOnly="0" labelOnly="1" grandRow="1" outline="0" fieldPosition="0"/>
    </format>
    <format dxfId="126">
      <pivotArea grandRow="1" outline="0" fieldPosition="0"/>
    </format>
    <format dxfId="125">
      <pivotArea dataOnly="0" labelOnly="1" grandRow="1" outline="0" fieldPosition="0"/>
    </format>
    <format dxfId="124">
      <pivotArea outline="0" fieldPosition="0"/>
    </format>
    <format dxfId="123">
      <pivotArea type="origin" dataOnly="0" labelOnly="1" outline="0" fieldPosition="0"/>
    </format>
    <format dxfId="122">
      <pivotArea field="4" type="button" dataOnly="0" labelOnly="1" outline="0" axis="axisRow" fieldPosition="1"/>
    </format>
    <format dxfId="121">
      <pivotArea dataOnly="0" labelOnly="1" grandRow="1" outline="0" offset="B256:IV256" fieldPosition="0"/>
    </format>
    <format dxfId="120">
      <pivotArea dataOnly="0" outline="0" fieldPosition="0">
        <references count="1">
          <reference field="0" count="0" defaultSubtotal="1"/>
        </references>
      </pivotArea>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Tableau croisé dynamique1" cacheId="13" applyNumberFormats="0" applyBorderFormats="0" applyFontFormats="0" applyPatternFormats="0" applyAlignmentFormats="0" applyWidthHeightFormats="1" dataCaption="Données" errorCaption="#ERR" showError="1" missingCaption="0" updatedVersion="5" minRefreshableVersion="3" asteriskTotals="1" showMemberPropertyTips="0" colGrandTotals="0" itemPrintTitles="1" createdVersion="3" indent="0" compact="0" compactData="0" gridDropZones="1">
  <location ref="A4:D11" firstHeaderRow="1" firstDataRow="2" firstDataCol="1"/>
  <pivotFields count="30">
    <pivotField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howAll="0" defaultSubtotal="0"/>
    <pivotField axis="axisRow" compact="0" outline="0" subtotalTop="0" showAll="0" includeNewItemsInFilter="1">
      <items count="6">
        <item x="0"/>
        <item x="1"/>
        <item x="2"/>
        <item x="3"/>
        <item x="4"/>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numFmtId="164" outline="0" subtotalTop="0" showAll="0" includeNewItemsInFilter="1"/>
    <pivotField compact="0" numFmtId="164" outline="0" subtotalTop="0" showAll="0" includeNewItemsInFilter="1"/>
    <pivotField compact="0" numFmtId="164" outline="0" subtotalTop="0" showAll="0" includeNewItemsInFilter="1"/>
    <pivotField compact="0" outline="0" subtotalTop="0" showAll="0" includeNewItemsInFilter="1"/>
    <pivotField compact="0" numFmtId="165"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Col" compact="0" outline="0" subtotalTop="0" showAll="0" includeNewItemsInFilter="1">
      <items count="4">
        <item x="0"/>
        <item x="1"/>
        <item x="2"/>
        <item t="default"/>
      </items>
    </pivotField>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ubtotalTop="0" showAll="0" includeNewItemsInFilter="1"/>
    <pivotField compact="0" outline="0" showAll="0" defaultSubtotal="0"/>
    <pivotField compact="0" outline="0" showAll="0" defaultSubtotal="0"/>
    <pivotField compact="0" outline="0" showAll="0"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4"/>
  </rowFields>
  <rowItems count="6">
    <i>
      <x/>
    </i>
    <i>
      <x v="1"/>
    </i>
    <i>
      <x v="2"/>
    </i>
    <i>
      <x v="3"/>
    </i>
    <i>
      <x v="4"/>
    </i>
    <i t="grand">
      <x/>
    </i>
  </rowItems>
  <colFields count="1">
    <field x="18"/>
  </colFields>
  <colItems count="3">
    <i>
      <x/>
    </i>
    <i>
      <x v="1"/>
    </i>
    <i>
      <x v="2"/>
    </i>
  </colItems>
  <dataFields count="1">
    <dataField name="Somme de Total pers.mois présentés" fld="19" baseField="0" baseItem="0"/>
  </dataFields>
  <formats count="15">
    <format dxfId="119">
      <pivotArea grandRow="1" outline="0" fieldPosition="0"/>
    </format>
    <format dxfId="118">
      <pivotArea dataOnly="0" labelOnly="1" grandRow="1" outline="0" fieldPosition="0"/>
    </format>
    <format dxfId="117">
      <pivotArea grandRow="1" outline="0" fieldPosition="0"/>
    </format>
    <format dxfId="116">
      <pivotArea dataOnly="0" labelOnly="1" grandRow="1" outline="0" fieldPosition="0"/>
    </format>
    <format dxfId="115">
      <pivotArea grandRow="1" outline="0" fieldPosition="0"/>
    </format>
    <format dxfId="114">
      <pivotArea dataOnly="0" labelOnly="1" grandRow="1" outline="0" fieldPosition="0"/>
    </format>
    <format dxfId="113">
      <pivotArea type="origin" dataOnly="0" labelOnly="1" outline="0" fieldPosition="0"/>
    </format>
    <format dxfId="112">
      <pivotArea field="4" type="button" dataOnly="0" labelOnly="1" outline="0" axis="axisRow" fieldPosition="0"/>
    </format>
    <format dxfId="111">
      <pivotArea dataOnly="0" labelOnly="1" grandCol="1" outline="0" fieldPosition="0"/>
    </format>
    <format dxfId="110">
      <pivotArea dataOnly="0" labelOnly="1" outline="0" fieldPosition="0">
        <references count="1">
          <reference field="18" count="0"/>
        </references>
      </pivotArea>
    </format>
    <format dxfId="109">
      <pivotArea dataOnly="0" labelOnly="1" outline="0" fieldPosition="0">
        <references count="1">
          <reference field="18" count="0"/>
        </references>
      </pivotArea>
    </format>
    <format dxfId="108">
      <pivotArea outline="0" collapsedLevelsAreSubtotals="1" fieldPosition="0"/>
    </format>
    <format dxfId="107">
      <pivotArea dataOnly="0" labelOnly="1" outline="0" fieldPosition="0">
        <references count="2">
          <reference field="4294967294" count="1">
            <x v="0"/>
          </reference>
          <reference field="18" count="1" selected="0">
            <x v="0"/>
          </reference>
        </references>
      </pivotArea>
    </format>
    <format dxfId="106">
      <pivotArea dataOnly="0" labelOnly="1" outline="0" fieldPosition="0">
        <references count="2">
          <reference field="4294967294" count="1">
            <x v="0"/>
          </reference>
          <reference field="18" count="1" selected="0">
            <x v="1"/>
          </reference>
        </references>
      </pivotArea>
    </format>
    <format dxfId="105">
      <pivotArea dataOnly="0" labelOnly="1" outline="0" fieldPosition="0">
        <references count="2">
          <reference field="4294967294" count="1">
            <x v="0"/>
          </reference>
          <reference field="18" count="1" selected="0">
            <x v="2"/>
          </reference>
        </references>
      </pivotArea>
    </format>
  </formats>
  <pivotTableStyleInfo showRowHeaders="1" showColHeaders="1" showRowStripes="0" showColStripes="0" showLastColumn="1"/>
</pivotTableDefinition>
</file>

<file path=xl/pivotTables/pivotTable7.xml><?xml version="1.0" encoding="utf-8"?>
<pivotTableDefinition xmlns="http://schemas.openxmlformats.org/spreadsheetml/2006/main" name="Tableau croisé dynamique1" cacheId="13" applyNumberFormats="0" applyBorderFormats="0" applyFontFormats="0" applyPatternFormats="0" applyAlignmentFormats="0" applyWidthHeightFormats="1" dataCaption="Données" errorCaption="#ERR" showError="1" missingCaption="0" updatedVersion="5" minRefreshableVersion="3" asteriskTotals="1" showMemberPropertyTips="0" useAutoFormatting="1" itemPrintTitles="1" createdVersion="3" indent="0" compact="0" compactData="0" gridDropZones="1">
  <location ref="A4:E10" firstHeaderRow="1" firstDataRow="2" firstDataCol="1"/>
  <pivotFields count="30">
    <pivotField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howAll="0" defaultSubtotal="0"/>
    <pivotField compact="0" outline="0" subtotalTop="0" showAll="0" includeNewItemsInFilter="1"/>
    <pivotField compact="0" outline="0" subtotalTop="0" showAll="0" includeNewItemsInFilter="1"/>
    <pivotField axis="axisRow" compact="0" outline="0" subtotalTop="0" showAll="0" includeNewItemsInFilter="1" sortType="ascending">
      <items count="5">
        <item x="0"/>
        <item x="1"/>
        <item x="3"/>
        <item x="2"/>
        <item t="default"/>
      </items>
    </pivotField>
    <pivotField compact="0" outline="0" subtotalTop="0" showAll="0" includeNewItemsInFilter="1"/>
    <pivotField compact="0" numFmtId="164" outline="0" subtotalTop="0" showAll="0" includeNewItemsInFilter="1"/>
    <pivotField compact="0" numFmtId="164" outline="0" subtotalTop="0" showAll="0" includeNewItemsInFilter="1"/>
    <pivotField compact="0" numFmtId="164" outline="0" subtotalTop="0" showAll="0" includeNewItemsInFilter="1"/>
    <pivotField compact="0" outline="0" subtotalTop="0" showAll="0" includeNewItemsInFilter="1"/>
    <pivotField compact="0" numFmtId="165"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Col" compact="0" outline="0" subtotalTop="0" showAll="0" includeNewItemsInFilter="1">
      <items count="4">
        <item x="0"/>
        <item x="1"/>
        <item x="2"/>
        <item t="default"/>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ubtotalTop="0" showAll="0" includeNewItemsInFilter="1"/>
    <pivotField compact="0" outline="0" showAll="0" defaultSubtotal="0"/>
    <pivotField compact="0" outline="0" showAll="0" defaultSubtotal="0"/>
    <pivotField dataField="1" compact="0" outline="0" showAll="0"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6"/>
  </rowFields>
  <rowItems count="5">
    <i>
      <x/>
    </i>
    <i>
      <x v="1"/>
    </i>
    <i>
      <x v="2"/>
    </i>
    <i>
      <x v="3"/>
    </i>
    <i t="grand">
      <x/>
    </i>
  </rowItems>
  <colFields count="1">
    <field x="18"/>
  </colFields>
  <colItems count="4">
    <i>
      <x/>
    </i>
    <i>
      <x v="1"/>
    </i>
    <i>
      <x v="2"/>
    </i>
    <i t="grand">
      <x/>
    </i>
  </colItems>
  <dataFields count="1">
    <dataField name="Somme de Coûts totaux" fld="27" baseField="0" baseItem="0"/>
  </dataFields>
  <formats count="8">
    <format dxfId="103">
      <pivotArea grandRow="1" outline="0" fieldPosition="0"/>
    </format>
    <format dxfId="102">
      <pivotArea dataOnly="0" labelOnly="1" grandRow="1" outline="0" fieldPosition="0"/>
    </format>
    <format dxfId="101">
      <pivotArea grandRow="1" outline="0" fieldPosition="0"/>
    </format>
    <format dxfId="100">
      <pivotArea dataOnly="0" labelOnly="1" grandRow="1" outline="0" fieldPosition="0"/>
    </format>
    <format dxfId="99">
      <pivotArea grandRow="1" outline="0" fieldPosition="0"/>
    </format>
    <format dxfId="98">
      <pivotArea dataOnly="0" labelOnly="1" grandRow="1" outline="0" fieldPosition="0"/>
    </format>
    <format dxfId="97">
      <pivotArea outline="0" fieldPosition="0"/>
    </format>
    <format dxfId="96">
      <pivotArea type="origin" dataOnly="0" labelOnly="1" outline="0" fieldPosition="0"/>
    </format>
  </formats>
  <pivotTableStyleInfo showRowHeaders="1" showColHeaders="1" showRowStripes="0" showColStripes="0" showLastColumn="1"/>
</pivotTableDefinition>
</file>

<file path=xl/pivotTables/pivotTable8.xml><?xml version="1.0" encoding="utf-8"?>
<pivotTableDefinition xmlns="http://schemas.openxmlformats.org/spreadsheetml/2006/main" name="Tableau croisé dynamique1" cacheId="13" applyNumberFormats="0" applyBorderFormats="0" applyFontFormats="0" applyPatternFormats="0" applyAlignmentFormats="0" applyWidthHeightFormats="1" dataCaption="Données" errorCaption="#ERR" showError="1" missingCaption="0" updatedVersion="5" minRefreshableVersion="3" asteriskTotals="1" showMemberPropertyTips="0" useAutoFormatting="1" itemPrintTitles="1" createdVersion="3" indent="0" compact="0" compactData="0" gridDropZones="1">
  <location ref="A4:E9" firstHeaderRow="1" firstDataRow="2" firstDataCol="1"/>
  <pivotFields count="30">
    <pivotField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howAll="0" defaultSubtotal="0"/>
    <pivotField compact="0" outline="0" subtotalTop="0" showAll="0" includeNewItemsInFilter="1"/>
    <pivotField axis="axisRow" compact="0" outline="0" subtotalTop="0" showAll="0" includeNewItemsInFilter="1">
      <items count="4">
        <item x="0"/>
        <item x="1"/>
        <item x="2"/>
        <item t="default"/>
      </items>
    </pivotField>
    <pivotField compact="0" outline="0" subtotalTop="0" showAll="0" includeNewItemsInFilter="1" sortType="ascending"/>
    <pivotField compact="0" outline="0" subtotalTop="0" showAll="0" includeNewItemsInFilter="1"/>
    <pivotField compact="0" numFmtId="164" outline="0" subtotalTop="0" showAll="0" includeNewItemsInFilter="1"/>
    <pivotField compact="0" numFmtId="164" outline="0" subtotalTop="0" showAll="0" includeNewItemsInFilter="1"/>
    <pivotField compact="0" numFmtId="164" outline="0" subtotalTop="0" showAll="0" includeNewItemsInFilter="1"/>
    <pivotField compact="0" outline="0" subtotalTop="0" showAll="0" includeNewItemsInFilter="1"/>
    <pivotField compact="0" numFmtId="165"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Col" compact="0" outline="0" subtotalTop="0" showAll="0" includeNewItemsInFilter="1">
      <items count="4">
        <item x="0"/>
        <item x="1"/>
        <item x="2"/>
        <item t="default"/>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ubtotalTop="0" showAll="0" includeNewItemsInFilter="1"/>
    <pivotField compact="0" outline="0" showAll="0" defaultSubtotal="0"/>
    <pivotField compact="0" outline="0" showAll="0" defaultSubtotal="0"/>
    <pivotField dataField="1" compact="0" outline="0" showAll="0"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5"/>
  </rowFields>
  <rowItems count="4">
    <i>
      <x/>
    </i>
    <i>
      <x v="1"/>
    </i>
    <i>
      <x v="2"/>
    </i>
    <i t="grand">
      <x/>
    </i>
  </rowItems>
  <colFields count="1">
    <field x="18"/>
  </colFields>
  <colItems count="4">
    <i>
      <x/>
    </i>
    <i>
      <x v="1"/>
    </i>
    <i>
      <x v="2"/>
    </i>
    <i t="grand">
      <x/>
    </i>
  </colItems>
  <dataFields count="1">
    <dataField name="Somme de Coûts totaux" fld="27" baseField="0" baseItem="0"/>
  </dataFields>
  <formats count="8">
    <format dxfId="94">
      <pivotArea grandRow="1" outline="0" fieldPosition="0"/>
    </format>
    <format dxfId="93">
      <pivotArea dataOnly="0" labelOnly="1" grandRow="1" outline="0" fieldPosition="0"/>
    </format>
    <format dxfId="92">
      <pivotArea grandRow="1" outline="0" fieldPosition="0"/>
    </format>
    <format dxfId="91">
      <pivotArea dataOnly="0" labelOnly="1" grandRow="1" outline="0" fieldPosition="0"/>
    </format>
    <format dxfId="90">
      <pivotArea grandRow="1" outline="0" fieldPosition="0"/>
    </format>
    <format dxfId="89">
      <pivotArea dataOnly="0" labelOnly="1" grandRow="1" outline="0" fieldPosition="0"/>
    </format>
    <format dxfId="88">
      <pivotArea outline="0" fieldPosition="0"/>
    </format>
    <format dxfId="87">
      <pivotArea type="origin" dataOnly="0" labelOnly="1" outline="0" fieldPosition="0"/>
    </format>
  </formats>
  <pivotTableStyleInfo showRowHeaders="1" showColHeaders="1" showRowStripes="0" showColStripes="0" showLastColumn="1"/>
</pivotTableDefinition>
</file>

<file path=xl/tables/table1.xml><?xml version="1.0" encoding="utf-8"?>
<table xmlns="http://schemas.openxmlformats.org/spreadsheetml/2006/main" id="3" name="Tableau_Calendrier" displayName="Tableau_Calendrier" ref="A1:C5" totalsRowShown="0" headerRowDxfId="216">
  <autoFilter ref="A1:C5"/>
  <tableColumns count="3">
    <tableColumn id="1" name="Etapes clés" dataDxfId="215"/>
    <tableColumn id="2" name="Délais en mois" dataDxfId="214"/>
    <tableColumn id="3" name="Date prévisionnelle" dataDxfId="213">
      <calculatedColumnFormula>EDATE(T_zéro,B2)</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1" name="Tableau_Partenaires" displayName="Tableau_Partenaires" ref="A1:G6" totalsRowShown="0" headerRowDxfId="212">
  <autoFilter ref="A1:G6"/>
  <tableColumns count="7">
    <tableColumn id="1" name="Nom court"/>
    <tableColumn id="2" name="Nom des partenaires "/>
    <tableColumn id="3" name="Salaire Cat. 1"/>
    <tableColumn id="4" name="Salaire Cat. 2"/>
    <tableColumn id="5" name="Salaire Cat. 3"/>
    <tableColumn id="7" name="Catégorie partenaire"/>
    <tableColumn id="6" name="Type de coûts"/>
  </tableColumns>
  <tableStyleInfo name="TableStyleMedium9" showFirstColumn="0" showLastColumn="0" showRowStripes="1" showColumnStripes="0"/>
</table>
</file>

<file path=xl/tables/table3.xml><?xml version="1.0" encoding="utf-8"?>
<table xmlns="http://schemas.openxmlformats.org/spreadsheetml/2006/main" id="2" name="Tableau_Devis" displayName="Tableau_Devis" ref="A6:AB30" totalsRowShown="0" headerRowDxfId="209" dataDxfId="208" tableBorderDxfId="207">
  <autoFilter ref="A6:AB30"/>
  <tableColumns count="28">
    <tableColumn id="1" name="Lot" dataDxfId="206"/>
    <tableColumn id="2" name="Sous-lot (facultatif)" dataDxfId="205"/>
    <tableColumn id="3" name="Tache" dataDxfId="204"/>
    <tableColumn id="4" name="Intitulé de la tache ou de l'investissement" dataDxfId="203"/>
    <tableColumn id="30" name="Partenaire" dataDxfId="202"/>
    <tableColumn id="6" name="Mois de début" dataDxfId="201"/>
    <tableColumn id="7" name="Mois de fin" dataDxfId="200"/>
    <tableColumn id="8" name="Livrable" dataDxfId="199"/>
    <tableColumn id="9" name="Personne.mois cat 1" dataDxfId="198"/>
    <tableColumn id="10" name="Personne.mois cat 2" dataDxfId="197"/>
    <tableColumn id="11" name="Personne.mois cat 3" dataDxfId="196"/>
    <tableColumn id="12" name="Dépenses de sous-traitance H.T." dataDxfId="195"/>
    <tableColumn id="13" name="Contribution aux amortissements" dataDxfId="194"/>
    <tableColumn id="14" name="Autres_dépenses" dataDxfId="193"/>
    <tableColumn id="15" name="Investissements" dataDxfId="192"/>
    <tableColumn id="23" name="Destination des aides" dataDxfId="191" dataCellStyle="Pourcentage"/>
    <tableColumn id="25" name="Type de coûts" dataDxfId="190" dataCellStyle="Pourcentage">
      <calculatedColumnFormula>VLOOKUP(Tableau_Devis[[#This Row],[Partenaire]],Tableau_Partenaires[],7,FALSE)</calculatedColumnFormula>
    </tableColumn>
    <tableColumn id="18" name="Durée" dataDxfId="189" dataCellStyle="Pourcentage">
      <calculatedColumnFormula>Tableau_Devis[[#This Row],[Mois de fin]]-Tableau_Devis[[#This Row],[Mois de début]]+1</calculatedColumnFormula>
    </tableColumn>
    <tableColumn id="17" name="Etape-clef" dataDxfId="188" dataCellStyle="Pourcentage">
      <calculatedColumnFormula>INDEX(Tableau_Calendrier[Etapes clés],MATCH(Tableau_Devis[[#This Row],[Mois de fin]]-1,Tableau_Calendrier[Délais en mois])+1)</calculatedColumnFormula>
    </tableColumn>
    <tableColumn id="39" name="Total pers.mois présentés" dataDxfId="187" dataCellStyle="Pourcentage">
      <calculatedColumnFormula>IF(Tableau_Devis[[#This Row],[Destination des aides]]="Fonctionnement",SUM(Tableau_Devis[[#This Row],[Personne.mois cat 1]:[Personne.mois cat 3]]),0)</calculatedColumnFormula>
    </tableColumn>
    <tableColumn id="22" name="Salaires" dataDxfId="186">
      <calculatedColumnFormula>IF(Tableau_Devis[[#This Row],[Destination des aides]]="Fonctionnement",ROUND(SUMPRODUCT(OFFSET(Tableau_Partenaires[[#Headers],[Nom court]],MATCH(Tableau_Devis[[#This Row],[Partenaire]],Tableau_Partenaires[Nom court],0),MATCH("Salaire Cat. 1",Tableau_Partenaires[#Headers],0)-1,1,3),Tableau_Devis[[#This Row],[Personne.mois cat 1]:[Personne.mois cat 3]]),0),0)</calculatedColumnFormula>
    </tableColumn>
    <tableColumn id="21" name="Frais généraux" dataDxfId="185">
      <calculatedColumnFormula>IF(Tableau_Devis[[#This Row],[Destination des aides]]="Fonctionnement", ROUND(20%*Tableau_Devis[[#This Row],[Salaires]],0),0)</calculatedColumnFormula>
    </tableColumn>
    <tableColumn id="20" name="Sous-traitance" dataDxfId="184">
      <calculatedColumnFormula>IF(Tableau_Devis[[#This Row],[Destination des aides]]="Fonctionnement",ROUND(Tableau_Devis[[#This Row],[Dépenses de sous-traitance H.T.]],0),0)</calculatedColumnFormula>
    </tableColumn>
    <tableColumn id="29" name="Dotations aux amortissements" dataDxfId="183">
      <calculatedColumnFormula>IF(Tableau_Devis[[#This Row],[Destination des aides]]="Fonctionnement",ROUND(Tableau_Devis[[#This Row],[Contribution aux amortissements]],0),0)</calculatedColumnFormula>
    </tableColumn>
    <tableColumn id="28" name="Autres dépenses" dataDxfId="182">
      <calculatedColumnFormula>IF(Tableau_Devis[[#This Row],[Destination des aides]]="Fonctionnement",ROUND(Tableau_Devis[[#This Row],[Autres_dépenses]],0),0)</calculatedColumnFormula>
    </tableColumn>
    <tableColumn id="24" name="Coûts de fonctionnement" dataDxfId="181">
      <calculatedColumnFormula>SUM(Tableau_Devis[[#This Row],[Salaires]:[Autres dépenses]])</calculatedColumnFormula>
    </tableColumn>
    <tableColumn id="27" name="Coûts d'investissement" dataDxfId="180">
      <calculatedColumnFormula>IF(Tableau_Devis[[#This Row],[Destination des aides]]="Investissement",ROUND(Tableau_Devis[[#This Row],[Investissements]],0),0)</calculatedColumnFormula>
    </tableColumn>
    <tableColumn id="26" name="Coûts totaux" dataDxfId="179">
      <calculatedColumnFormula>Tableau_Devis[[#This Row],[Coûts de fonctionnement]]+Tableau_Devis[[#This Row],[Coûts d''investissement]]</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ivotTable" Target="../pivotTables/pivotTable6.xm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ivotTable" Target="../pivotTables/pivotTable7.xm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ivotTable" Target="../pivotTables/pivotTable8.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4.xm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tabColor indexed="44"/>
    <pageSetUpPr fitToPage="1"/>
  </sheetPr>
  <dimension ref="A22:E50"/>
  <sheetViews>
    <sheetView tabSelected="1" workbookViewId="0">
      <selection activeCell="J20" sqref="J20"/>
    </sheetView>
  </sheetViews>
  <sheetFormatPr baseColWidth="10" defaultRowHeight="12.75" x14ac:dyDescent="0.2"/>
  <cols>
    <col min="1" max="1" width="30.7109375" customWidth="1"/>
    <col min="2" max="2" width="9.5703125" customWidth="1"/>
    <col min="3" max="3" width="4.5703125" customWidth="1"/>
    <col min="4" max="4" width="6.7109375" customWidth="1"/>
    <col min="5" max="5" width="13.140625" customWidth="1"/>
    <col min="6" max="6" width="13" customWidth="1"/>
    <col min="7" max="7" width="12.42578125" customWidth="1"/>
    <col min="8" max="8" width="12.28515625" customWidth="1"/>
    <col min="9" max="9" width="9.7109375" customWidth="1"/>
    <col min="257" max="257" width="30.7109375" customWidth="1"/>
    <col min="258" max="258" width="9.5703125" customWidth="1"/>
    <col min="259" max="259" width="4.5703125" customWidth="1"/>
    <col min="260" max="260" width="6.7109375" customWidth="1"/>
    <col min="261" max="261" width="13.140625" customWidth="1"/>
    <col min="262" max="262" width="13" customWidth="1"/>
    <col min="263" max="263" width="12.42578125" customWidth="1"/>
    <col min="264" max="264" width="12.28515625" customWidth="1"/>
    <col min="265" max="265" width="9.7109375" customWidth="1"/>
    <col min="513" max="513" width="30.7109375" customWidth="1"/>
    <col min="514" max="514" width="9.5703125" customWidth="1"/>
    <col min="515" max="515" width="4.5703125" customWidth="1"/>
    <col min="516" max="516" width="6.7109375" customWidth="1"/>
    <col min="517" max="517" width="13.140625" customWidth="1"/>
    <col min="518" max="518" width="13" customWidth="1"/>
    <col min="519" max="519" width="12.42578125" customWidth="1"/>
    <col min="520" max="520" width="12.28515625" customWidth="1"/>
    <col min="521" max="521" width="9.7109375" customWidth="1"/>
    <col min="769" max="769" width="30.7109375" customWidth="1"/>
    <col min="770" max="770" width="9.5703125" customWidth="1"/>
    <col min="771" max="771" width="4.5703125" customWidth="1"/>
    <col min="772" max="772" width="6.7109375" customWidth="1"/>
    <col min="773" max="773" width="13.140625" customWidth="1"/>
    <col min="774" max="774" width="13" customWidth="1"/>
    <col min="775" max="775" width="12.42578125" customWidth="1"/>
    <col min="776" max="776" width="12.28515625" customWidth="1"/>
    <col min="777" max="777" width="9.7109375" customWidth="1"/>
    <col min="1025" max="1025" width="30.7109375" customWidth="1"/>
    <col min="1026" max="1026" width="9.5703125" customWidth="1"/>
    <col min="1027" max="1027" width="4.5703125" customWidth="1"/>
    <col min="1028" max="1028" width="6.7109375" customWidth="1"/>
    <col min="1029" max="1029" width="13.140625" customWidth="1"/>
    <col min="1030" max="1030" width="13" customWidth="1"/>
    <col min="1031" max="1031" width="12.42578125" customWidth="1"/>
    <col min="1032" max="1032" width="12.28515625" customWidth="1"/>
    <col min="1033" max="1033" width="9.7109375" customWidth="1"/>
    <col min="1281" max="1281" width="30.7109375" customWidth="1"/>
    <col min="1282" max="1282" width="9.5703125" customWidth="1"/>
    <col min="1283" max="1283" width="4.5703125" customWidth="1"/>
    <col min="1284" max="1284" width="6.7109375" customWidth="1"/>
    <col min="1285" max="1285" width="13.140625" customWidth="1"/>
    <col min="1286" max="1286" width="13" customWidth="1"/>
    <col min="1287" max="1287" width="12.42578125" customWidth="1"/>
    <col min="1288" max="1288" width="12.28515625" customWidth="1"/>
    <col min="1289" max="1289" width="9.7109375" customWidth="1"/>
    <col min="1537" max="1537" width="30.7109375" customWidth="1"/>
    <col min="1538" max="1538" width="9.5703125" customWidth="1"/>
    <col min="1539" max="1539" width="4.5703125" customWidth="1"/>
    <col min="1540" max="1540" width="6.7109375" customWidth="1"/>
    <col min="1541" max="1541" width="13.140625" customWidth="1"/>
    <col min="1542" max="1542" width="13" customWidth="1"/>
    <col min="1543" max="1543" width="12.42578125" customWidth="1"/>
    <col min="1544" max="1544" width="12.28515625" customWidth="1"/>
    <col min="1545" max="1545" width="9.7109375" customWidth="1"/>
    <col min="1793" max="1793" width="30.7109375" customWidth="1"/>
    <col min="1794" max="1794" width="9.5703125" customWidth="1"/>
    <col min="1795" max="1795" width="4.5703125" customWidth="1"/>
    <col min="1796" max="1796" width="6.7109375" customWidth="1"/>
    <col min="1797" max="1797" width="13.140625" customWidth="1"/>
    <col min="1798" max="1798" width="13" customWidth="1"/>
    <col min="1799" max="1799" width="12.42578125" customWidth="1"/>
    <col min="1800" max="1800" width="12.28515625" customWidth="1"/>
    <col min="1801" max="1801" width="9.7109375" customWidth="1"/>
    <col min="2049" max="2049" width="30.7109375" customWidth="1"/>
    <col min="2050" max="2050" width="9.5703125" customWidth="1"/>
    <col min="2051" max="2051" width="4.5703125" customWidth="1"/>
    <col min="2052" max="2052" width="6.7109375" customWidth="1"/>
    <col min="2053" max="2053" width="13.140625" customWidth="1"/>
    <col min="2054" max="2054" width="13" customWidth="1"/>
    <col min="2055" max="2055" width="12.42578125" customWidth="1"/>
    <col min="2056" max="2056" width="12.28515625" customWidth="1"/>
    <col min="2057" max="2057" width="9.7109375" customWidth="1"/>
    <col min="2305" max="2305" width="30.7109375" customWidth="1"/>
    <col min="2306" max="2306" width="9.5703125" customWidth="1"/>
    <col min="2307" max="2307" width="4.5703125" customWidth="1"/>
    <col min="2308" max="2308" width="6.7109375" customWidth="1"/>
    <col min="2309" max="2309" width="13.140625" customWidth="1"/>
    <col min="2310" max="2310" width="13" customWidth="1"/>
    <col min="2311" max="2311" width="12.42578125" customWidth="1"/>
    <col min="2312" max="2312" width="12.28515625" customWidth="1"/>
    <col min="2313" max="2313" width="9.7109375" customWidth="1"/>
    <col min="2561" max="2561" width="30.7109375" customWidth="1"/>
    <col min="2562" max="2562" width="9.5703125" customWidth="1"/>
    <col min="2563" max="2563" width="4.5703125" customWidth="1"/>
    <col min="2564" max="2564" width="6.7109375" customWidth="1"/>
    <col min="2565" max="2565" width="13.140625" customWidth="1"/>
    <col min="2566" max="2566" width="13" customWidth="1"/>
    <col min="2567" max="2567" width="12.42578125" customWidth="1"/>
    <col min="2568" max="2568" width="12.28515625" customWidth="1"/>
    <col min="2569" max="2569" width="9.7109375" customWidth="1"/>
    <col min="2817" max="2817" width="30.7109375" customWidth="1"/>
    <col min="2818" max="2818" width="9.5703125" customWidth="1"/>
    <col min="2819" max="2819" width="4.5703125" customWidth="1"/>
    <col min="2820" max="2820" width="6.7109375" customWidth="1"/>
    <col min="2821" max="2821" width="13.140625" customWidth="1"/>
    <col min="2822" max="2822" width="13" customWidth="1"/>
    <col min="2823" max="2823" width="12.42578125" customWidth="1"/>
    <col min="2824" max="2824" width="12.28515625" customWidth="1"/>
    <col min="2825" max="2825" width="9.7109375" customWidth="1"/>
    <col min="3073" max="3073" width="30.7109375" customWidth="1"/>
    <col min="3074" max="3074" width="9.5703125" customWidth="1"/>
    <col min="3075" max="3075" width="4.5703125" customWidth="1"/>
    <col min="3076" max="3076" width="6.7109375" customWidth="1"/>
    <col min="3077" max="3077" width="13.140625" customWidth="1"/>
    <col min="3078" max="3078" width="13" customWidth="1"/>
    <col min="3079" max="3079" width="12.42578125" customWidth="1"/>
    <col min="3080" max="3080" width="12.28515625" customWidth="1"/>
    <col min="3081" max="3081" width="9.7109375" customWidth="1"/>
    <col min="3329" max="3329" width="30.7109375" customWidth="1"/>
    <col min="3330" max="3330" width="9.5703125" customWidth="1"/>
    <col min="3331" max="3331" width="4.5703125" customWidth="1"/>
    <col min="3332" max="3332" width="6.7109375" customWidth="1"/>
    <col min="3333" max="3333" width="13.140625" customWidth="1"/>
    <col min="3334" max="3334" width="13" customWidth="1"/>
    <col min="3335" max="3335" width="12.42578125" customWidth="1"/>
    <col min="3336" max="3336" width="12.28515625" customWidth="1"/>
    <col min="3337" max="3337" width="9.7109375" customWidth="1"/>
    <col min="3585" max="3585" width="30.7109375" customWidth="1"/>
    <col min="3586" max="3586" width="9.5703125" customWidth="1"/>
    <col min="3587" max="3587" width="4.5703125" customWidth="1"/>
    <col min="3588" max="3588" width="6.7109375" customWidth="1"/>
    <col min="3589" max="3589" width="13.140625" customWidth="1"/>
    <col min="3590" max="3590" width="13" customWidth="1"/>
    <col min="3591" max="3591" width="12.42578125" customWidth="1"/>
    <col min="3592" max="3592" width="12.28515625" customWidth="1"/>
    <col min="3593" max="3593" width="9.7109375" customWidth="1"/>
    <col min="3841" max="3841" width="30.7109375" customWidth="1"/>
    <col min="3842" max="3842" width="9.5703125" customWidth="1"/>
    <col min="3843" max="3843" width="4.5703125" customWidth="1"/>
    <col min="3844" max="3844" width="6.7109375" customWidth="1"/>
    <col min="3845" max="3845" width="13.140625" customWidth="1"/>
    <col min="3846" max="3846" width="13" customWidth="1"/>
    <col min="3847" max="3847" width="12.42578125" customWidth="1"/>
    <col min="3848" max="3848" width="12.28515625" customWidth="1"/>
    <col min="3849" max="3849" width="9.7109375" customWidth="1"/>
    <col min="4097" max="4097" width="30.7109375" customWidth="1"/>
    <col min="4098" max="4098" width="9.5703125" customWidth="1"/>
    <col min="4099" max="4099" width="4.5703125" customWidth="1"/>
    <col min="4100" max="4100" width="6.7109375" customWidth="1"/>
    <col min="4101" max="4101" width="13.140625" customWidth="1"/>
    <col min="4102" max="4102" width="13" customWidth="1"/>
    <col min="4103" max="4103" width="12.42578125" customWidth="1"/>
    <col min="4104" max="4104" width="12.28515625" customWidth="1"/>
    <col min="4105" max="4105" width="9.7109375" customWidth="1"/>
    <col min="4353" max="4353" width="30.7109375" customWidth="1"/>
    <col min="4354" max="4354" width="9.5703125" customWidth="1"/>
    <col min="4355" max="4355" width="4.5703125" customWidth="1"/>
    <col min="4356" max="4356" width="6.7109375" customWidth="1"/>
    <col min="4357" max="4357" width="13.140625" customWidth="1"/>
    <col min="4358" max="4358" width="13" customWidth="1"/>
    <col min="4359" max="4359" width="12.42578125" customWidth="1"/>
    <col min="4360" max="4360" width="12.28515625" customWidth="1"/>
    <col min="4361" max="4361" width="9.7109375" customWidth="1"/>
    <col min="4609" max="4609" width="30.7109375" customWidth="1"/>
    <col min="4610" max="4610" width="9.5703125" customWidth="1"/>
    <col min="4611" max="4611" width="4.5703125" customWidth="1"/>
    <col min="4612" max="4612" width="6.7109375" customWidth="1"/>
    <col min="4613" max="4613" width="13.140625" customWidth="1"/>
    <col min="4614" max="4614" width="13" customWidth="1"/>
    <col min="4615" max="4615" width="12.42578125" customWidth="1"/>
    <col min="4616" max="4616" width="12.28515625" customWidth="1"/>
    <col min="4617" max="4617" width="9.7109375" customWidth="1"/>
    <col min="4865" max="4865" width="30.7109375" customWidth="1"/>
    <col min="4866" max="4866" width="9.5703125" customWidth="1"/>
    <col min="4867" max="4867" width="4.5703125" customWidth="1"/>
    <col min="4868" max="4868" width="6.7109375" customWidth="1"/>
    <col min="4869" max="4869" width="13.140625" customWidth="1"/>
    <col min="4870" max="4870" width="13" customWidth="1"/>
    <col min="4871" max="4871" width="12.42578125" customWidth="1"/>
    <col min="4872" max="4872" width="12.28515625" customWidth="1"/>
    <col min="4873" max="4873" width="9.7109375" customWidth="1"/>
    <col min="5121" max="5121" width="30.7109375" customWidth="1"/>
    <col min="5122" max="5122" width="9.5703125" customWidth="1"/>
    <col min="5123" max="5123" width="4.5703125" customWidth="1"/>
    <col min="5124" max="5124" width="6.7109375" customWidth="1"/>
    <col min="5125" max="5125" width="13.140625" customWidth="1"/>
    <col min="5126" max="5126" width="13" customWidth="1"/>
    <col min="5127" max="5127" width="12.42578125" customWidth="1"/>
    <col min="5128" max="5128" width="12.28515625" customWidth="1"/>
    <col min="5129" max="5129" width="9.7109375" customWidth="1"/>
    <col min="5377" max="5377" width="30.7109375" customWidth="1"/>
    <col min="5378" max="5378" width="9.5703125" customWidth="1"/>
    <col min="5379" max="5379" width="4.5703125" customWidth="1"/>
    <col min="5380" max="5380" width="6.7109375" customWidth="1"/>
    <col min="5381" max="5381" width="13.140625" customWidth="1"/>
    <col min="5382" max="5382" width="13" customWidth="1"/>
    <col min="5383" max="5383" width="12.42578125" customWidth="1"/>
    <col min="5384" max="5384" width="12.28515625" customWidth="1"/>
    <col min="5385" max="5385" width="9.7109375" customWidth="1"/>
    <col min="5633" max="5633" width="30.7109375" customWidth="1"/>
    <col min="5634" max="5634" width="9.5703125" customWidth="1"/>
    <col min="5635" max="5635" width="4.5703125" customWidth="1"/>
    <col min="5636" max="5636" width="6.7109375" customWidth="1"/>
    <col min="5637" max="5637" width="13.140625" customWidth="1"/>
    <col min="5638" max="5638" width="13" customWidth="1"/>
    <col min="5639" max="5639" width="12.42578125" customWidth="1"/>
    <col min="5640" max="5640" width="12.28515625" customWidth="1"/>
    <col min="5641" max="5641" width="9.7109375" customWidth="1"/>
    <col min="5889" max="5889" width="30.7109375" customWidth="1"/>
    <col min="5890" max="5890" width="9.5703125" customWidth="1"/>
    <col min="5891" max="5891" width="4.5703125" customWidth="1"/>
    <col min="5892" max="5892" width="6.7109375" customWidth="1"/>
    <col min="5893" max="5893" width="13.140625" customWidth="1"/>
    <col min="5894" max="5894" width="13" customWidth="1"/>
    <col min="5895" max="5895" width="12.42578125" customWidth="1"/>
    <col min="5896" max="5896" width="12.28515625" customWidth="1"/>
    <col min="5897" max="5897" width="9.7109375" customWidth="1"/>
    <col min="6145" max="6145" width="30.7109375" customWidth="1"/>
    <col min="6146" max="6146" width="9.5703125" customWidth="1"/>
    <col min="6147" max="6147" width="4.5703125" customWidth="1"/>
    <col min="6148" max="6148" width="6.7109375" customWidth="1"/>
    <col min="6149" max="6149" width="13.140625" customWidth="1"/>
    <col min="6150" max="6150" width="13" customWidth="1"/>
    <col min="6151" max="6151" width="12.42578125" customWidth="1"/>
    <col min="6152" max="6152" width="12.28515625" customWidth="1"/>
    <col min="6153" max="6153" width="9.7109375" customWidth="1"/>
    <col min="6401" max="6401" width="30.7109375" customWidth="1"/>
    <col min="6402" max="6402" width="9.5703125" customWidth="1"/>
    <col min="6403" max="6403" width="4.5703125" customWidth="1"/>
    <col min="6404" max="6404" width="6.7109375" customWidth="1"/>
    <col min="6405" max="6405" width="13.140625" customWidth="1"/>
    <col min="6406" max="6406" width="13" customWidth="1"/>
    <col min="6407" max="6407" width="12.42578125" customWidth="1"/>
    <col min="6408" max="6408" width="12.28515625" customWidth="1"/>
    <col min="6409" max="6409" width="9.7109375" customWidth="1"/>
    <col min="6657" max="6657" width="30.7109375" customWidth="1"/>
    <col min="6658" max="6658" width="9.5703125" customWidth="1"/>
    <col min="6659" max="6659" width="4.5703125" customWidth="1"/>
    <col min="6660" max="6660" width="6.7109375" customWidth="1"/>
    <col min="6661" max="6661" width="13.140625" customWidth="1"/>
    <col min="6662" max="6662" width="13" customWidth="1"/>
    <col min="6663" max="6663" width="12.42578125" customWidth="1"/>
    <col min="6664" max="6664" width="12.28515625" customWidth="1"/>
    <col min="6665" max="6665" width="9.7109375" customWidth="1"/>
    <col min="6913" max="6913" width="30.7109375" customWidth="1"/>
    <col min="6914" max="6914" width="9.5703125" customWidth="1"/>
    <col min="6915" max="6915" width="4.5703125" customWidth="1"/>
    <col min="6916" max="6916" width="6.7109375" customWidth="1"/>
    <col min="6917" max="6917" width="13.140625" customWidth="1"/>
    <col min="6918" max="6918" width="13" customWidth="1"/>
    <col min="6919" max="6919" width="12.42578125" customWidth="1"/>
    <col min="6920" max="6920" width="12.28515625" customWidth="1"/>
    <col min="6921" max="6921" width="9.7109375" customWidth="1"/>
    <col min="7169" max="7169" width="30.7109375" customWidth="1"/>
    <col min="7170" max="7170" width="9.5703125" customWidth="1"/>
    <col min="7171" max="7171" width="4.5703125" customWidth="1"/>
    <col min="7172" max="7172" width="6.7109375" customWidth="1"/>
    <col min="7173" max="7173" width="13.140625" customWidth="1"/>
    <col min="7174" max="7174" width="13" customWidth="1"/>
    <col min="7175" max="7175" width="12.42578125" customWidth="1"/>
    <col min="7176" max="7176" width="12.28515625" customWidth="1"/>
    <col min="7177" max="7177" width="9.7109375" customWidth="1"/>
    <col min="7425" max="7425" width="30.7109375" customWidth="1"/>
    <col min="7426" max="7426" width="9.5703125" customWidth="1"/>
    <col min="7427" max="7427" width="4.5703125" customWidth="1"/>
    <col min="7428" max="7428" width="6.7109375" customWidth="1"/>
    <col min="7429" max="7429" width="13.140625" customWidth="1"/>
    <col min="7430" max="7430" width="13" customWidth="1"/>
    <col min="7431" max="7431" width="12.42578125" customWidth="1"/>
    <col min="7432" max="7432" width="12.28515625" customWidth="1"/>
    <col min="7433" max="7433" width="9.7109375" customWidth="1"/>
    <col min="7681" max="7681" width="30.7109375" customWidth="1"/>
    <col min="7682" max="7682" width="9.5703125" customWidth="1"/>
    <col min="7683" max="7683" width="4.5703125" customWidth="1"/>
    <col min="7684" max="7684" width="6.7109375" customWidth="1"/>
    <col min="7685" max="7685" width="13.140625" customWidth="1"/>
    <col min="7686" max="7686" width="13" customWidth="1"/>
    <col min="7687" max="7687" width="12.42578125" customWidth="1"/>
    <col min="7688" max="7688" width="12.28515625" customWidth="1"/>
    <col min="7689" max="7689" width="9.7109375" customWidth="1"/>
    <col min="7937" max="7937" width="30.7109375" customWidth="1"/>
    <col min="7938" max="7938" width="9.5703125" customWidth="1"/>
    <col min="7939" max="7939" width="4.5703125" customWidth="1"/>
    <col min="7940" max="7940" width="6.7109375" customWidth="1"/>
    <col min="7941" max="7941" width="13.140625" customWidth="1"/>
    <col min="7942" max="7942" width="13" customWidth="1"/>
    <col min="7943" max="7943" width="12.42578125" customWidth="1"/>
    <col min="7944" max="7944" width="12.28515625" customWidth="1"/>
    <col min="7945" max="7945" width="9.7109375" customWidth="1"/>
    <col min="8193" max="8193" width="30.7109375" customWidth="1"/>
    <col min="8194" max="8194" width="9.5703125" customWidth="1"/>
    <col min="8195" max="8195" width="4.5703125" customWidth="1"/>
    <col min="8196" max="8196" width="6.7109375" customWidth="1"/>
    <col min="8197" max="8197" width="13.140625" customWidth="1"/>
    <col min="8198" max="8198" width="13" customWidth="1"/>
    <col min="8199" max="8199" width="12.42578125" customWidth="1"/>
    <col min="8200" max="8200" width="12.28515625" customWidth="1"/>
    <col min="8201" max="8201" width="9.7109375" customWidth="1"/>
    <col min="8449" max="8449" width="30.7109375" customWidth="1"/>
    <col min="8450" max="8450" width="9.5703125" customWidth="1"/>
    <col min="8451" max="8451" width="4.5703125" customWidth="1"/>
    <col min="8452" max="8452" width="6.7109375" customWidth="1"/>
    <col min="8453" max="8453" width="13.140625" customWidth="1"/>
    <col min="8454" max="8454" width="13" customWidth="1"/>
    <col min="8455" max="8455" width="12.42578125" customWidth="1"/>
    <col min="8456" max="8456" width="12.28515625" customWidth="1"/>
    <col min="8457" max="8457" width="9.7109375" customWidth="1"/>
    <col min="8705" max="8705" width="30.7109375" customWidth="1"/>
    <col min="8706" max="8706" width="9.5703125" customWidth="1"/>
    <col min="8707" max="8707" width="4.5703125" customWidth="1"/>
    <col min="8708" max="8708" width="6.7109375" customWidth="1"/>
    <col min="8709" max="8709" width="13.140625" customWidth="1"/>
    <col min="8710" max="8710" width="13" customWidth="1"/>
    <col min="8711" max="8711" width="12.42578125" customWidth="1"/>
    <col min="8712" max="8712" width="12.28515625" customWidth="1"/>
    <col min="8713" max="8713" width="9.7109375" customWidth="1"/>
    <col min="8961" max="8961" width="30.7109375" customWidth="1"/>
    <col min="8962" max="8962" width="9.5703125" customWidth="1"/>
    <col min="8963" max="8963" width="4.5703125" customWidth="1"/>
    <col min="8964" max="8964" width="6.7109375" customWidth="1"/>
    <col min="8965" max="8965" width="13.140625" customWidth="1"/>
    <col min="8966" max="8966" width="13" customWidth="1"/>
    <col min="8967" max="8967" width="12.42578125" customWidth="1"/>
    <col min="8968" max="8968" width="12.28515625" customWidth="1"/>
    <col min="8969" max="8969" width="9.7109375" customWidth="1"/>
    <col min="9217" max="9217" width="30.7109375" customWidth="1"/>
    <col min="9218" max="9218" width="9.5703125" customWidth="1"/>
    <col min="9219" max="9219" width="4.5703125" customWidth="1"/>
    <col min="9220" max="9220" width="6.7109375" customWidth="1"/>
    <col min="9221" max="9221" width="13.140625" customWidth="1"/>
    <col min="9222" max="9222" width="13" customWidth="1"/>
    <col min="9223" max="9223" width="12.42578125" customWidth="1"/>
    <col min="9224" max="9224" width="12.28515625" customWidth="1"/>
    <col min="9225" max="9225" width="9.7109375" customWidth="1"/>
    <col min="9473" max="9473" width="30.7109375" customWidth="1"/>
    <col min="9474" max="9474" width="9.5703125" customWidth="1"/>
    <col min="9475" max="9475" width="4.5703125" customWidth="1"/>
    <col min="9476" max="9476" width="6.7109375" customWidth="1"/>
    <col min="9477" max="9477" width="13.140625" customWidth="1"/>
    <col min="9478" max="9478" width="13" customWidth="1"/>
    <col min="9479" max="9479" width="12.42578125" customWidth="1"/>
    <col min="9480" max="9480" width="12.28515625" customWidth="1"/>
    <col min="9481" max="9481" width="9.7109375" customWidth="1"/>
    <col min="9729" max="9729" width="30.7109375" customWidth="1"/>
    <col min="9730" max="9730" width="9.5703125" customWidth="1"/>
    <col min="9731" max="9731" width="4.5703125" customWidth="1"/>
    <col min="9732" max="9732" width="6.7109375" customWidth="1"/>
    <col min="9733" max="9733" width="13.140625" customWidth="1"/>
    <col min="9734" max="9734" width="13" customWidth="1"/>
    <col min="9735" max="9735" width="12.42578125" customWidth="1"/>
    <col min="9736" max="9736" width="12.28515625" customWidth="1"/>
    <col min="9737" max="9737" width="9.7109375" customWidth="1"/>
    <col min="9985" max="9985" width="30.7109375" customWidth="1"/>
    <col min="9986" max="9986" width="9.5703125" customWidth="1"/>
    <col min="9987" max="9987" width="4.5703125" customWidth="1"/>
    <col min="9988" max="9988" width="6.7109375" customWidth="1"/>
    <col min="9989" max="9989" width="13.140625" customWidth="1"/>
    <col min="9990" max="9990" width="13" customWidth="1"/>
    <col min="9991" max="9991" width="12.42578125" customWidth="1"/>
    <col min="9992" max="9992" width="12.28515625" customWidth="1"/>
    <col min="9993" max="9993" width="9.7109375" customWidth="1"/>
    <col min="10241" max="10241" width="30.7109375" customWidth="1"/>
    <col min="10242" max="10242" width="9.5703125" customWidth="1"/>
    <col min="10243" max="10243" width="4.5703125" customWidth="1"/>
    <col min="10244" max="10244" width="6.7109375" customWidth="1"/>
    <col min="10245" max="10245" width="13.140625" customWidth="1"/>
    <col min="10246" max="10246" width="13" customWidth="1"/>
    <col min="10247" max="10247" width="12.42578125" customWidth="1"/>
    <col min="10248" max="10248" width="12.28515625" customWidth="1"/>
    <col min="10249" max="10249" width="9.7109375" customWidth="1"/>
    <col min="10497" max="10497" width="30.7109375" customWidth="1"/>
    <col min="10498" max="10498" width="9.5703125" customWidth="1"/>
    <col min="10499" max="10499" width="4.5703125" customWidth="1"/>
    <col min="10500" max="10500" width="6.7109375" customWidth="1"/>
    <col min="10501" max="10501" width="13.140625" customWidth="1"/>
    <col min="10502" max="10502" width="13" customWidth="1"/>
    <col min="10503" max="10503" width="12.42578125" customWidth="1"/>
    <col min="10504" max="10504" width="12.28515625" customWidth="1"/>
    <col min="10505" max="10505" width="9.7109375" customWidth="1"/>
    <col min="10753" max="10753" width="30.7109375" customWidth="1"/>
    <col min="10754" max="10754" width="9.5703125" customWidth="1"/>
    <col min="10755" max="10755" width="4.5703125" customWidth="1"/>
    <col min="10756" max="10756" width="6.7109375" customWidth="1"/>
    <col min="10757" max="10757" width="13.140625" customWidth="1"/>
    <col min="10758" max="10758" width="13" customWidth="1"/>
    <col min="10759" max="10759" width="12.42578125" customWidth="1"/>
    <col min="10760" max="10760" width="12.28515625" customWidth="1"/>
    <col min="10761" max="10761" width="9.7109375" customWidth="1"/>
    <col min="11009" max="11009" width="30.7109375" customWidth="1"/>
    <col min="11010" max="11010" width="9.5703125" customWidth="1"/>
    <col min="11011" max="11011" width="4.5703125" customWidth="1"/>
    <col min="11012" max="11012" width="6.7109375" customWidth="1"/>
    <col min="11013" max="11013" width="13.140625" customWidth="1"/>
    <col min="11014" max="11014" width="13" customWidth="1"/>
    <col min="11015" max="11015" width="12.42578125" customWidth="1"/>
    <col min="11016" max="11016" width="12.28515625" customWidth="1"/>
    <col min="11017" max="11017" width="9.7109375" customWidth="1"/>
    <col min="11265" max="11265" width="30.7109375" customWidth="1"/>
    <col min="11266" max="11266" width="9.5703125" customWidth="1"/>
    <col min="11267" max="11267" width="4.5703125" customWidth="1"/>
    <col min="11268" max="11268" width="6.7109375" customWidth="1"/>
    <col min="11269" max="11269" width="13.140625" customWidth="1"/>
    <col min="11270" max="11270" width="13" customWidth="1"/>
    <col min="11271" max="11271" width="12.42578125" customWidth="1"/>
    <col min="11272" max="11272" width="12.28515625" customWidth="1"/>
    <col min="11273" max="11273" width="9.7109375" customWidth="1"/>
    <col min="11521" max="11521" width="30.7109375" customWidth="1"/>
    <col min="11522" max="11522" width="9.5703125" customWidth="1"/>
    <col min="11523" max="11523" width="4.5703125" customWidth="1"/>
    <col min="11524" max="11524" width="6.7109375" customWidth="1"/>
    <col min="11525" max="11525" width="13.140625" customWidth="1"/>
    <col min="11526" max="11526" width="13" customWidth="1"/>
    <col min="11527" max="11527" width="12.42578125" customWidth="1"/>
    <col min="11528" max="11528" width="12.28515625" customWidth="1"/>
    <col min="11529" max="11529" width="9.7109375" customWidth="1"/>
    <col min="11777" max="11777" width="30.7109375" customWidth="1"/>
    <col min="11778" max="11778" width="9.5703125" customWidth="1"/>
    <col min="11779" max="11779" width="4.5703125" customWidth="1"/>
    <col min="11780" max="11780" width="6.7109375" customWidth="1"/>
    <col min="11781" max="11781" width="13.140625" customWidth="1"/>
    <col min="11782" max="11782" width="13" customWidth="1"/>
    <col min="11783" max="11783" width="12.42578125" customWidth="1"/>
    <col min="11784" max="11784" width="12.28515625" customWidth="1"/>
    <col min="11785" max="11785" width="9.7109375" customWidth="1"/>
    <col min="12033" max="12033" width="30.7109375" customWidth="1"/>
    <col min="12034" max="12034" width="9.5703125" customWidth="1"/>
    <col min="12035" max="12035" width="4.5703125" customWidth="1"/>
    <col min="12036" max="12036" width="6.7109375" customWidth="1"/>
    <col min="12037" max="12037" width="13.140625" customWidth="1"/>
    <col min="12038" max="12038" width="13" customWidth="1"/>
    <col min="12039" max="12039" width="12.42578125" customWidth="1"/>
    <col min="12040" max="12040" width="12.28515625" customWidth="1"/>
    <col min="12041" max="12041" width="9.7109375" customWidth="1"/>
    <col min="12289" max="12289" width="30.7109375" customWidth="1"/>
    <col min="12290" max="12290" width="9.5703125" customWidth="1"/>
    <col min="12291" max="12291" width="4.5703125" customWidth="1"/>
    <col min="12292" max="12292" width="6.7109375" customWidth="1"/>
    <col min="12293" max="12293" width="13.140625" customWidth="1"/>
    <col min="12294" max="12294" width="13" customWidth="1"/>
    <col min="12295" max="12295" width="12.42578125" customWidth="1"/>
    <col min="12296" max="12296" width="12.28515625" customWidth="1"/>
    <col min="12297" max="12297" width="9.7109375" customWidth="1"/>
    <col min="12545" max="12545" width="30.7109375" customWidth="1"/>
    <col min="12546" max="12546" width="9.5703125" customWidth="1"/>
    <col min="12547" max="12547" width="4.5703125" customWidth="1"/>
    <col min="12548" max="12548" width="6.7109375" customWidth="1"/>
    <col min="12549" max="12549" width="13.140625" customWidth="1"/>
    <col min="12550" max="12550" width="13" customWidth="1"/>
    <col min="12551" max="12551" width="12.42578125" customWidth="1"/>
    <col min="12552" max="12552" width="12.28515625" customWidth="1"/>
    <col min="12553" max="12553" width="9.7109375" customWidth="1"/>
    <col min="12801" max="12801" width="30.7109375" customWidth="1"/>
    <col min="12802" max="12802" width="9.5703125" customWidth="1"/>
    <col min="12803" max="12803" width="4.5703125" customWidth="1"/>
    <col min="12804" max="12804" width="6.7109375" customWidth="1"/>
    <col min="12805" max="12805" width="13.140625" customWidth="1"/>
    <col min="12806" max="12806" width="13" customWidth="1"/>
    <col min="12807" max="12807" width="12.42578125" customWidth="1"/>
    <col min="12808" max="12808" width="12.28515625" customWidth="1"/>
    <col min="12809" max="12809" width="9.7109375" customWidth="1"/>
    <col min="13057" max="13057" width="30.7109375" customWidth="1"/>
    <col min="13058" max="13058" width="9.5703125" customWidth="1"/>
    <col min="13059" max="13059" width="4.5703125" customWidth="1"/>
    <col min="13060" max="13060" width="6.7109375" customWidth="1"/>
    <col min="13061" max="13061" width="13.140625" customWidth="1"/>
    <col min="13062" max="13062" width="13" customWidth="1"/>
    <col min="13063" max="13063" width="12.42578125" customWidth="1"/>
    <col min="13064" max="13064" width="12.28515625" customWidth="1"/>
    <col min="13065" max="13065" width="9.7109375" customWidth="1"/>
    <col min="13313" max="13313" width="30.7109375" customWidth="1"/>
    <col min="13314" max="13314" width="9.5703125" customWidth="1"/>
    <col min="13315" max="13315" width="4.5703125" customWidth="1"/>
    <col min="13316" max="13316" width="6.7109375" customWidth="1"/>
    <col min="13317" max="13317" width="13.140625" customWidth="1"/>
    <col min="13318" max="13318" width="13" customWidth="1"/>
    <col min="13319" max="13319" width="12.42578125" customWidth="1"/>
    <col min="13320" max="13320" width="12.28515625" customWidth="1"/>
    <col min="13321" max="13321" width="9.7109375" customWidth="1"/>
    <col min="13569" max="13569" width="30.7109375" customWidth="1"/>
    <col min="13570" max="13570" width="9.5703125" customWidth="1"/>
    <col min="13571" max="13571" width="4.5703125" customWidth="1"/>
    <col min="13572" max="13572" width="6.7109375" customWidth="1"/>
    <col min="13573" max="13573" width="13.140625" customWidth="1"/>
    <col min="13574" max="13574" width="13" customWidth="1"/>
    <col min="13575" max="13575" width="12.42578125" customWidth="1"/>
    <col min="13576" max="13576" width="12.28515625" customWidth="1"/>
    <col min="13577" max="13577" width="9.7109375" customWidth="1"/>
    <col min="13825" max="13825" width="30.7109375" customWidth="1"/>
    <col min="13826" max="13826" width="9.5703125" customWidth="1"/>
    <col min="13827" max="13827" width="4.5703125" customWidth="1"/>
    <col min="13828" max="13828" width="6.7109375" customWidth="1"/>
    <col min="13829" max="13829" width="13.140625" customWidth="1"/>
    <col min="13830" max="13830" width="13" customWidth="1"/>
    <col min="13831" max="13831" width="12.42578125" customWidth="1"/>
    <col min="13832" max="13832" width="12.28515625" customWidth="1"/>
    <col min="13833" max="13833" width="9.7109375" customWidth="1"/>
    <col min="14081" max="14081" width="30.7109375" customWidth="1"/>
    <col min="14082" max="14082" width="9.5703125" customWidth="1"/>
    <col min="14083" max="14083" width="4.5703125" customWidth="1"/>
    <col min="14084" max="14084" width="6.7109375" customWidth="1"/>
    <col min="14085" max="14085" width="13.140625" customWidth="1"/>
    <col min="14086" max="14086" width="13" customWidth="1"/>
    <col min="14087" max="14087" width="12.42578125" customWidth="1"/>
    <col min="14088" max="14088" width="12.28515625" customWidth="1"/>
    <col min="14089" max="14089" width="9.7109375" customWidth="1"/>
    <col min="14337" max="14337" width="30.7109375" customWidth="1"/>
    <col min="14338" max="14338" width="9.5703125" customWidth="1"/>
    <col min="14339" max="14339" width="4.5703125" customWidth="1"/>
    <col min="14340" max="14340" width="6.7109375" customWidth="1"/>
    <col min="14341" max="14341" width="13.140625" customWidth="1"/>
    <col min="14342" max="14342" width="13" customWidth="1"/>
    <col min="14343" max="14343" width="12.42578125" customWidth="1"/>
    <col min="14344" max="14344" width="12.28515625" customWidth="1"/>
    <col min="14345" max="14345" width="9.7109375" customWidth="1"/>
    <col min="14593" max="14593" width="30.7109375" customWidth="1"/>
    <col min="14594" max="14594" width="9.5703125" customWidth="1"/>
    <col min="14595" max="14595" width="4.5703125" customWidth="1"/>
    <col min="14596" max="14596" width="6.7109375" customWidth="1"/>
    <col min="14597" max="14597" width="13.140625" customWidth="1"/>
    <col min="14598" max="14598" width="13" customWidth="1"/>
    <col min="14599" max="14599" width="12.42578125" customWidth="1"/>
    <col min="14600" max="14600" width="12.28515625" customWidth="1"/>
    <col min="14601" max="14601" width="9.7109375" customWidth="1"/>
    <col min="14849" max="14849" width="30.7109375" customWidth="1"/>
    <col min="14850" max="14850" width="9.5703125" customWidth="1"/>
    <col min="14851" max="14851" width="4.5703125" customWidth="1"/>
    <col min="14852" max="14852" width="6.7109375" customWidth="1"/>
    <col min="14853" max="14853" width="13.140625" customWidth="1"/>
    <col min="14854" max="14854" width="13" customWidth="1"/>
    <col min="14855" max="14855" width="12.42578125" customWidth="1"/>
    <col min="14856" max="14856" width="12.28515625" customWidth="1"/>
    <col min="14857" max="14857" width="9.7109375" customWidth="1"/>
    <col min="15105" max="15105" width="30.7109375" customWidth="1"/>
    <col min="15106" max="15106" width="9.5703125" customWidth="1"/>
    <col min="15107" max="15107" width="4.5703125" customWidth="1"/>
    <col min="15108" max="15108" width="6.7109375" customWidth="1"/>
    <col min="15109" max="15109" width="13.140625" customWidth="1"/>
    <col min="15110" max="15110" width="13" customWidth="1"/>
    <col min="15111" max="15111" width="12.42578125" customWidth="1"/>
    <col min="15112" max="15112" width="12.28515625" customWidth="1"/>
    <col min="15113" max="15113" width="9.7109375" customWidth="1"/>
    <col min="15361" max="15361" width="30.7109375" customWidth="1"/>
    <col min="15362" max="15362" width="9.5703125" customWidth="1"/>
    <col min="15363" max="15363" width="4.5703125" customWidth="1"/>
    <col min="15364" max="15364" width="6.7109375" customWidth="1"/>
    <col min="15365" max="15365" width="13.140625" customWidth="1"/>
    <col min="15366" max="15366" width="13" customWidth="1"/>
    <col min="15367" max="15367" width="12.42578125" customWidth="1"/>
    <col min="15368" max="15368" width="12.28515625" customWidth="1"/>
    <col min="15369" max="15369" width="9.7109375" customWidth="1"/>
    <col min="15617" max="15617" width="30.7109375" customWidth="1"/>
    <col min="15618" max="15618" width="9.5703125" customWidth="1"/>
    <col min="15619" max="15619" width="4.5703125" customWidth="1"/>
    <col min="15620" max="15620" width="6.7109375" customWidth="1"/>
    <col min="15621" max="15621" width="13.140625" customWidth="1"/>
    <col min="15622" max="15622" width="13" customWidth="1"/>
    <col min="15623" max="15623" width="12.42578125" customWidth="1"/>
    <col min="15624" max="15624" width="12.28515625" customWidth="1"/>
    <col min="15625" max="15625" width="9.7109375" customWidth="1"/>
    <col min="15873" max="15873" width="30.7109375" customWidth="1"/>
    <col min="15874" max="15874" width="9.5703125" customWidth="1"/>
    <col min="15875" max="15875" width="4.5703125" customWidth="1"/>
    <col min="15876" max="15876" width="6.7109375" customWidth="1"/>
    <col min="15877" max="15877" width="13.140625" customWidth="1"/>
    <col min="15878" max="15878" width="13" customWidth="1"/>
    <col min="15879" max="15879" width="12.42578125" customWidth="1"/>
    <col min="15880" max="15880" width="12.28515625" customWidth="1"/>
    <col min="15881" max="15881" width="9.7109375" customWidth="1"/>
    <col min="16129" max="16129" width="30.7109375" customWidth="1"/>
    <col min="16130" max="16130" width="9.5703125" customWidth="1"/>
    <col min="16131" max="16131" width="4.5703125" customWidth="1"/>
    <col min="16132" max="16132" width="6.7109375" customWidth="1"/>
    <col min="16133" max="16133" width="13.140625" customWidth="1"/>
    <col min="16134" max="16134" width="13" customWidth="1"/>
    <col min="16135" max="16135" width="12.42578125" customWidth="1"/>
    <col min="16136" max="16136" width="12.28515625" customWidth="1"/>
    <col min="16137" max="16137" width="9.7109375" customWidth="1"/>
  </cols>
  <sheetData>
    <row r="22" spans="1:1" x14ac:dyDescent="0.2">
      <c r="A22" s="1"/>
    </row>
    <row r="23" spans="1:1" x14ac:dyDescent="0.2">
      <c r="A23" s="3"/>
    </row>
    <row r="24" spans="1:1" x14ac:dyDescent="0.2">
      <c r="A24" s="3"/>
    </row>
    <row r="25" spans="1:1" x14ac:dyDescent="0.2">
      <c r="A25" s="3"/>
    </row>
    <row r="26" spans="1:1" x14ac:dyDescent="0.2">
      <c r="A26" s="3"/>
    </row>
    <row r="27" spans="1:1" x14ac:dyDescent="0.2">
      <c r="A27" s="3"/>
    </row>
    <row r="28" spans="1:1" x14ac:dyDescent="0.2">
      <c r="A28" s="3"/>
    </row>
    <row r="29" spans="1:1" x14ac:dyDescent="0.2">
      <c r="A29" s="3"/>
    </row>
    <row r="30" spans="1:1" x14ac:dyDescent="0.2">
      <c r="A30" s="3"/>
    </row>
    <row r="31" spans="1:1" x14ac:dyDescent="0.2">
      <c r="A31" s="3"/>
    </row>
    <row r="32" spans="1:1" x14ac:dyDescent="0.2">
      <c r="A32" s="3"/>
    </row>
    <row r="33" spans="1:5" x14ac:dyDescent="0.2">
      <c r="A33" s="3"/>
    </row>
    <row r="34" spans="1:5" x14ac:dyDescent="0.2">
      <c r="A34" s="3"/>
    </row>
    <row r="35" spans="1:5" x14ac:dyDescent="0.2">
      <c r="A35" s="3"/>
    </row>
    <row r="36" spans="1:5" x14ac:dyDescent="0.2">
      <c r="A36" s="3"/>
    </row>
    <row r="37" spans="1:5" x14ac:dyDescent="0.2">
      <c r="A37" s="3"/>
    </row>
    <row r="38" spans="1:5" x14ac:dyDescent="0.2">
      <c r="A38" s="3"/>
    </row>
    <row r="39" spans="1:5" x14ac:dyDescent="0.2">
      <c r="A39" s="3"/>
    </row>
    <row r="40" spans="1:5" ht="11.25" customHeight="1" x14ac:dyDescent="0.2">
      <c r="A40" s="3"/>
    </row>
    <row r="41" spans="1:5" x14ac:dyDescent="0.2">
      <c r="A41" s="3"/>
    </row>
    <row r="42" spans="1:5" x14ac:dyDescent="0.2">
      <c r="A42" s="3"/>
    </row>
    <row r="43" spans="1:5" x14ac:dyDescent="0.2">
      <c r="A43" s="3"/>
    </row>
    <row r="44" spans="1:5" x14ac:dyDescent="0.2">
      <c r="A44" s="36"/>
      <c r="B44" s="37"/>
      <c r="C44" s="37"/>
      <c r="D44" s="38"/>
      <c r="E44" s="38"/>
    </row>
    <row r="45" spans="1:5" x14ac:dyDescent="0.2">
      <c r="A45" s="36"/>
      <c r="B45" s="37"/>
      <c r="C45" s="37"/>
      <c r="D45" s="38"/>
      <c r="E45" s="38"/>
    </row>
    <row r="46" spans="1:5" ht="18" customHeight="1" x14ac:dyDescent="0.2">
      <c r="A46" s="36"/>
      <c r="B46" s="37"/>
      <c r="C46" s="37"/>
      <c r="D46" s="38"/>
      <c r="E46" s="38"/>
    </row>
    <row r="47" spans="1:5" x14ac:dyDescent="0.2">
      <c r="A47" s="36"/>
      <c r="B47" s="37"/>
      <c r="C47" s="37"/>
      <c r="D47" s="38"/>
      <c r="E47" s="38"/>
    </row>
    <row r="48" spans="1:5" x14ac:dyDescent="0.2">
      <c r="A48" s="36"/>
      <c r="B48" s="37"/>
      <c r="C48" s="37"/>
      <c r="D48" s="38"/>
      <c r="E48" s="38"/>
    </row>
    <row r="49" spans="1:5" x14ac:dyDescent="0.2">
      <c r="A49" s="36"/>
      <c r="B49" s="37"/>
      <c r="C49" s="37"/>
      <c r="D49" s="38"/>
      <c r="E49" s="38"/>
    </row>
    <row r="50" spans="1:5" x14ac:dyDescent="0.2">
      <c r="A50" s="36"/>
      <c r="B50" s="37"/>
      <c r="C50" s="37"/>
      <c r="D50" s="38"/>
      <c r="E50" s="38"/>
    </row>
  </sheetData>
  <pageMargins left="0.78740157499999996" right="0.78740157499999996" top="0.984251969" bottom="0.984251969" header="0.4921259845" footer="0.4921259845"/>
  <pageSetup paperSize="9" scale="67" orientation="portrait" r:id="rId1"/>
  <headerFooter alignWithMargins="0">
    <oddHeader>&amp;F</oddHeader>
    <oddFooter>&amp;A&amp;RPage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tabColor indexed="10"/>
    <pageSetUpPr fitToPage="1"/>
  </sheetPr>
  <dimension ref="A2:CS33"/>
  <sheetViews>
    <sheetView workbookViewId="0">
      <selection activeCell="D39" sqref="D39"/>
    </sheetView>
  </sheetViews>
  <sheetFormatPr baseColWidth="10" defaultRowHeight="12.75" x14ac:dyDescent="0.2"/>
  <cols>
    <col min="1" max="1" width="11.85546875" customWidth="1"/>
    <col min="2" max="6" width="7.7109375" customWidth="1"/>
    <col min="7" max="7" width="8" customWidth="1"/>
    <col min="8" max="9" width="7.7109375" customWidth="1"/>
    <col min="10" max="10" width="7.140625" customWidth="1"/>
    <col min="11" max="14" width="7.7109375" customWidth="1"/>
    <col min="15" max="15" width="3.28515625" customWidth="1"/>
    <col min="16" max="159" width="7.7109375" customWidth="1"/>
    <col min="160" max="160" width="22.42578125" bestFit="1" customWidth="1"/>
    <col min="161" max="161" width="22.42578125" customWidth="1"/>
    <col min="162" max="162" width="22.42578125" bestFit="1" customWidth="1"/>
    <col min="163" max="163" width="22.42578125" customWidth="1"/>
    <col min="164" max="164" width="22.42578125" bestFit="1" customWidth="1"/>
    <col min="165" max="165" width="22.42578125" customWidth="1"/>
    <col min="166" max="166" width="22.42578125" bestFit="1" customWidth="1"/>
    <col min="167" max="167" width="22.42578125" customWidth="1"/>
    <col min="168" max="168" width="22.42578125" bestFit="1" customWidth="1"/>
    <col min="169" max="169" width="22.42578125" customWidth="1"/>
    <col min="170" max="170" width="22.42578125" bestFit="1" customWidth="1"/>
    <col min="171" max="171" width="22.42578125" customWidth="1"/>
    <col min="172" max="172" width="22.42578125" bestFit="1" customWidth="1"/>
    <col min="173" max="173" width="22.42578125" customWidth="1"/>
    <col min="174" max="174" width="22.42578125" bestFit="1" customWidth="1"/>
    <col min="175" max="175" width="22.42578125" customWidth="1"/>
    <col min="176" max="176" width="22.42578125" bestFit="1" customWidth="1"/>
    <col min="177" max="177" width="22.42578125" customWidth="1"/>
    <col min="178" max="178" width="22.42578125" bestFit="1" customWidth="1"/>
    <col min="179" max="179" width="22.42578125" customWidth="1"/>
    <col min="180" max="180" width="22.42578125" bestFit="1" customWidth="1"/>
    <col min="181" max="181" width="22.42578125" customWidth="1"/>
    <col min="182" max="182" width="22.42578125" bestFit="1" customWidth="1"/>
    <col min="183" max="183" width="22.42578125" customWidth="1"/>
    <col min="184" max="184" width="22.42578125" bestFit="1" customWidth="1"/>
    <col min="185" max="185" width="22.42578125" customWidth="1"/>
    <col min="186" max="186" width="22.42578125" bestFit="1" customWidth="1"/>
    <col min="187" max="187" width="22.42578125" customWidth="1"/>
    <col min="188" max="188" width="22.42578125" bestFit="1" customWidth="1"/>
    <col min="189" max="189" width="22.42578125" customWidth="1"/>
    <col min="190" max="190" width="22.42578125" bestFit="1" customWidth="1"/>
    <col min="191" max="191" width="22.42578125" customWidth="1"/>
    <col min="192" max="192" width="22.42578125" bestFit="1" customWidth="1"/>
    <col min="193" max="193" width="22.42578125" customWidth="1"/>
    <col min="194" max="194" width="22.42578125" bestFit="1" customWidth="1"/>
    <col min="195" max="195" width="22.42578125" customWidth="1"/>
    <col min="196" max="196" width="22.42578125" bestFit="1" customWidth="1"/>
    <col min="197" max="197" width="22.42578125" customWidth="1"/>
    <col min="198" max="198" width="22.42578125" bestFit="1" customWidth="1"/>
    <col min="199" max="199" width="22.42578125" customWidth="1"/>
    <col min="200" max="200" width="22.42578125" bestFit="1" customWidth="1"/>
    <col min="201" max="201" width="22.42578125" customWidth="1"/>
    <col min="202" max="202" width="22.42578125" bestFit="1" customWidth="1"/>
    <col min="203" max="203" width="22.42578125" customWidth="1"/>
    <col min="204" max="204" width="22.42578125" bestFit="1" customWidth="1"/>
    <col min="205" max="205" width="22.42578125" customWidth="1"/>
    <col min="206" max="206" width="22.42578125" bestFit="1" customWidth="1"/>
    <col min="207" max="207" width="22.42578125" customWidth="1"/>
    <col min="208" max="208" width="22.42578125" bestFit="1" customWidth="1"/>
    <col min="209" max="209" width="22.42578125" customWidth="1"/>
    <col min="210" max="210" width="22.42578125" bestFit="1" customWidth="1"/>
    <col min="211" max="211" width="22.42578125" customWidth="1"/>
    <col min="212" max="212" width="22.42578125" bestFit="1" customWidth="1"/>
    <col min="213" max="213" width="22.42578125" customWidth="1"/>
    <col min="214" max="214" width="22.42578125" bestFit="1" customWidth="1"/>
    <col min="215" max="215" width="22.42578125" customWidth="1"/>
    <col min="216" max="216" width="22.42578125" bestFit="1" customWidth="1"/>
    <col min="217" max="217" width="22.42578125" customWidth="1"/>
    <col min="218" max="218" width="22.42578125" bestFit="1" customWidth="1"/>
    <col min="219" max="219" width="22.42578125" customWidth="1"/>
    <col min="220" max="220" width="22.42578125" bestFit="1" customWidth="1"/>
    <col min="221" max="221" width="22.42578125" customWidth="1"/>
    <col min="222" max="222" width="22.42578125" bestFit="1" customWidth="1"/>
    <col min="223" max="223" width="22.42578125" customWidth="1"/>
    <col min="224" max="224" width="22.42578125" bestFit="1" customWidth="1"/>
    <col min="225" max="225" width="22.42578125" customWidth="1"/>
    <col min="226" max="226" width="27.140625" bestFit="1" customWidth="1"/>
    <col min="227" max="227" width="17.85546875" customWidth="1"/>
    <col min="228" max="228" width="13.7109375" bestFit="1" customWidth="1"/>
    <col min="229" max="229" width="9.140625" customWidth="1"/>
    <col min="230" max="230" width="13.7109375" bestFit="1" customWidth="1"/>
    <col min="231" max="231" width="9.140625" customWidth="1"/>
    <col min="232" max="232" width="13.7109375" bestFit="1" customWidth="1"/>
    <col min="233" max="233" width="9.140625" customWidth="1"/>
    <col min="234" max="234" width="13.7109375" bestFit="1" customWidth="1"/>
    <col min="235" max="235" width="10.140625" customWidth="1"/>
  </cols>
  <sheetData>
    <row r="2" spans="1:97" x14ac:dyDescent="0.2">
      <c r="C2" s="3"/>
      <c r="D2" s="3"/>
    </row>
    <row r="3" spans="1:97" ht="14.25" x14ac:dyDescent="0.2">
      <c r="A3" s="94"/>
      <c r="B3" s="95"/>
      <c r="C3" s="95"/>
      <c r="D3" s="3"/>
    </row>
    <row r="4" spans="1:97" ht="51" x14ac:dyDescent="0.2">
      <c r="A4" s="120" t="s">
        <v>57</v>
      </c>
      <c r="B4" s="97" t="s">
        <v>9</v>
      </c>
      <c r="C4" s="98"/>
      <c r="D4" s="99"/>
    </row>
    <row r="5" spans="1:97" ht="24" customHeight="1" x14ac:dyDescent="0.2">
      <c r="A5" s="111" t="s">
        <v>3</v>
      </c>
      <c r="B5" s="125" t="s">
        <v>26</v>
      </c>
      <c r="C5" s="126" t="s">
        <v>27</v>
      </c>
      <c r="D5" s="127" t="s">
        <v>28</v>
      </c>
    </row>
    <row r="6" spans="1:97" x14ac:dyDescent="0.2">
      <c r="A6" s="96" t="s">
        <v>33</v>
      </c>
      <c r="B6" s="128">
        <v>43</v>
      </c>
      <c r="C6" s="129">
        <v>43</v>
      </c>
      <c r="D6" s="130">
        <v>97</v>
      </c>
    </row>
    <row r="7" spans="1:97" x14ac:dyDescent="0.2">
      <c r="A7" s="101" t="s">
        <v>35</v>
      </c>
      <c r="B7" s="131">
        <v>18</v>
      </c>
      <c r="C7" s="48">
        <v>18</v>
      </c>
      <c r="D7" s="132">
        <v>48</v>
      </c>
    </row>
    <row r="8" spans="1:97" x14ac:dyDescent="0.2">
      <c r="A8" s="101" t="s">
        <v>36</v>
      </c>
      <c r="B8" s="131">
        <v>9</v>
      </c>
      <c r="C8" s="48">
        <v>18</v>
      </c>
      <c r="D8" s="132">
        <v>36</v>
      </c>
    </row>
    <row r="9" spans="1:97" x14ac:dyDescent="0.2">
      <c r="A9" s="101" t="s">
        <v>71</v>
      </c>
      <c r="B9" s="131">
        <v>9</v>
      </c>
      <c r="C9" s="48">
        <v>12</v>
      </c>
      <c r="D9" s="132">
        <v>0</v>
      </c>
    </row>
    <row r="10" spans="1:97" x14ac:dyDescent="0.2">
      <c r="A10" s="101" t="s">
        <v>73</v>
      </c>
      <c r="B10" s="131">
        <v>9</v>
      </c>
      <c r="C10" s="48">
        <v>12</v>
      </c>
      <c r="D10" s="132">
        <v>0</v>
      </c>
    </row>
    <row r="11" spans="1:97" x14ac:dyDescent="0.2">
      <c r="A11" s="102" t="s">
        <v>30</v>
      </c>
      <c r="B11" s="133">
        <v>88</v>
      </c>
      <c r="C11" s="134">
        <v>103</v>
      </c>
      <c r="D11" s="135">
        <v>181</v>
      </c>
    </row>
    <row r="13" spans="1:97" s="4" customFormat="1" x14ac:dyDescent="0.2">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row>
    <row r="30" spans="24:24" x14ac:dyDescent="0.2">
      <c r="X30" s="8"/>
    </row>
    <row r="33" ht="13.5" customHeight="1" x14ac:dyDescent="0.2"/>
  </sheetData>
  <mergeCells count="1">
    <mergeCell ref="A3:C3"/>
  </mergeCells>
  <phoneticPr fontId="2" type="noConversion"/>
  <pageMargins left="0.78740157499999996" right="0.78740157499999996" top="0.984251969" bottom="0.984251969" header="0.4921259845" footer="0.4921259845"/>
  <pageSetup paperSize="9" fitToHeight="8"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tabColor indexed="10"/>
    <pageSetUpPr fitToPage="1"/>
  </sheetPr>
  <dimension ref="A2:BH29"/>
  <sheetViews>
    <sheetView workbookViewId="0">
      <selection activeCell="D8" sqref="D8"/>
    </sheetView>
  </sheetViews>
  <sheetFormatPr baseColWidth="10" defaultRowHeight="12.75" x14ac:dyDescent="0.2"/>
  <cols>
    <col min="1" max="1" width="13.140625" customWidth="1"/>
    <col min="2" max="8" width="11.5703125" customWidth="1"/>
    <col min="9" max="9" width="9.140625" customWidth="1"/>
    <col min="10" max="11" width="7.5703125" customWidth="1"/>
    <col min="12" max="12" width="6.5703125" customWidth="1"/>
    <col min="13" max="13" width="7.5703125" customWidth="1"/>
    <col min="14" max="15" width="9.140625" customWidth="1"/>
    <col min="16" max="20" width="7.5703125" customWidth="1"/>
    <col min="21" max="21" width="6.5703125" customWidth="1"/>
    <col min="22" max="22" width="7.5703125" customWidth="1"/>
    <col min="23" max="26" width="9.140625" customWidth="1"/>
    <col min="27" max="30" width="7.5703125" customWidth="1"/>
    <col min="31" max="31" width="6.5703125" customWidth="1"/>
    <col min="32" max="36" width="7.5703125" customWidth="1"/>
    <col min="37" max="37" width="6.140625" customWidth="1"/>
    <col min="38" max="38" width="7.5703125" customWidth="1"/>
    <col min="39" max="40" width="9.140625" customWidth="1"/>
    <col min="41" max="44" width="7.5703125" customWidth="1"/>
    <col min="45" max="46" width="9.140625" customWidth="1"/>
    <col min="47" max="47" width="6.5703125" customWidth="1"/>
    <col min="48" max="56" width="7.5703125" customWidth="1"/>
    <col min="57" max="59" width="9.140625" customWidth="1"/>
    <col min="60" max="60" width="10.140625" customWidth="1"/>
  </cols>
  <sheetData>
    <row r="2" spans="1:60" x14ac:dyDescent="0.2">
      <c r="C2" s="3"/>
      <c r="D2" s="3"/>
    </row>
    <row r="3" spans="1:60" ht="14.25" x14ac:dyDescent="0.2">
      <c r="A3" s="94"/>
      <c r="B3" s="95"/>
      <c r="C3" s="95"/>
      <c r="D3" s="3"/>
    </row>
    <row r="4" spans="1:60" ht="25.5" x14ac:dyDescent="0.2">
      <c r="A4" s="120" t="s">
        <v>106</v>
      </c>
      <c r="B4" s="97" t="s">
        <v>9</v>
      </c>
      <c r="C4" s="98"/>
      <c r="D4" s="98"/>
      <c r="E4" s="99"/>
    </row>
    <row r="5" spans="1:60" ht="60.75" customHeight="1" x14ac:dyDescent="0.2">
      <c r="A5" s="97" t="s">
        <v>10</v>
      </c>
      <c r="B5" s="96" t="s">
        <v>26</v>
      </c>
      <c r="C5" s="100" t="s">
        <v>27</v>
      </c>
      <c r="D5" s="100" t="s">
        <v>28</v>
      </c>
      <c r="E5" s="114" t="s">
        <v>30</v>
      </c>
    </row>
    <row r="6" spans="1:60" x14ac:dyDescent="0.2">
      <c r="A6" s="96">
        <v>12</v>
      </c>
      <c r="B6" s="103">
        <v>949700</v>
      </c>
      <c r="C6" s="104">
        <v>0</v>
      </c>
      <c r="D6" s="104">
        <v>0</v>
      </c>
      <c r="E6" s="117">
        <v>949700</v>
      </c>
    </row>
    <row r="7" spans="1:60" x14ac:dyDescent="0.2">
      <c r="A7" s="101">
        <v>18</v>
      </c>
      <c r="B7" s="106">
        <v>0</v>
      </c>
      <c r="C7" s="6">
        <v>10600</v>
      </c>
      <c r="D7" s="6">
        <v>0</v>
      </c>
      <c r="E7" s="118">
        <v>10600</v>
      </c>
    </row>
    <row r="8" spans="1:60" x14ac:dyDescent="0.2">
      <c r="A8" s="101">
        <v>24</v>
      </c>
      <c r="B8" s="106">
        <v>0</v>
      </c>
      <c r="C8" s="6">
        <v>1191400</v>
      </c>
      <c r="D8" s="6">
        <v>0</v>
      </c>
      <c r="E8" s="118">
        <v>1191400</v>
      </c>
    </row>
    <row r="9" spans="1:60" x14ac:dyDescent="0.2">
      <c r="A9" s="101">
        <v>36</v>
      </c>
      <c r="B9" s="106">
        <v>0</v>
      </c>
      <c r="C9" s="6">
        <v>0</v>
      </c>
      <c r="D9" s="6">
        <v>3027000</v>
      </c>
      <c r="E9" s="118">
        <v>3027000</v>
      </c>
    </row>
    <row r="10" spans="1:60" x14ac:dyDescent="0.2">
      <c r="A10" s="102" t="s">
        <v>30</v>
      </c>
      <c r="B10" s="107">
        <v>949700</v>
      </c>
      <c r="C10" s="108">
        <v>1202000</v>
      </c>
      <c r="D10" s="108">
        <v>3027000</v>
      </c>
      <c r="E10" s="119">
        <v>5178700</v>
      </c>
    </row>
    <row r="13" spans="1:60" s="4" customFormat="1" x14ac:dyDescent="0.2">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row>
    <row r="29" spans="1:60" s="5" customFormat="1" x14ac:dyDescent="0.2">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row>
  </sheetData>
  <mergeCells count="1">
    <mergeCell ref="A3:C3"/>
  </mergeCells>
  <phoneticPr fontId="2" type="noConversion"/>
  <conditionalFormatting sqref="B38:E118">
    <cfRule type="expression" dxfId="104" priority="1" stopIfTrue="1">
      <formula>$G38&gt;1</formula>
    </cfRule>
  </conditionalFormatting>
  <pageMargins left="0.78740157499999996" right="0.78740157499999996" top="0.984251969" bottom="0.984251969" header="0.4921259845" footer="0.4921259845"/>
  <pageSetup paperSize="9" fitToHeight="8" orientation="portrait"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tabColor indexed="10"/>
    <pageSetUpPr fitToPage="1"/>
  </sheetPr>
  <dimension ref="A2:BH29"/>
  <sheetViews>
    <sheetView workbookViewId="0">
      <selection activeCell="D7" sqref="D7"/>
    </sheetView>
  </sheetViews>
  <sheetFormatPr baseColWidth="10" defaultRowHeight="12.75" x14ac:dyDescent="0.2"/>
  <cols>
    <col min="1" max="1" width="15" customWidth="1"/>
    <col min="2" max="8" width="11.5703125" customWidth="1"/>
    <col min="9" max="9" width="9.140625" customWidth="1"/>
    <col min="10" max="11" width="7.5703125" customWidth="1"/>
    <col min="12" max="12" width="6.5703125" customWidth="1"/>
    <col min="13" max="13" width="7.5703125" customWidth="1"/>
    <col min="14" max="15" width="9.140625" customWidth="1"/>
    <col min="16" max="20" width="7.5703125" customWidth="1"/>
    <col min="21" max="21" width="6.5703125" customWidth="1"/>
    <col min="22" max="22" width="7.5703125" customWidth="1"/>
    <col min="23" max="26" width="9.140625" customWidth="1"/>
    <col min="27" max="30" width="7.5703125" customWidth="1"/>
    <col min="31" max="31" width="6.5703125" customWidth="1"/>
    <col min="32" max="36" width="7.5703125" customWidth="1"/>
    <col min="37" max="37" width="6.140625" customWidth="1"/>
    <col min="38" max="38" width="7.5703125" customWidth="1"/>
    <col min="39" max="40" width="9.140625" customWidth="1"/>
    <col min="41" max="44" width="7.5703125" customWidth="1"/>
    <col min="45" max="46" width="9.140625" customWidth="1"/>
    <col min="47" max="47" width="6.5703125" customWidth="1"/>
    <col min="48" max="56" width="7.5703125" customWidth="1"/>
    <col min="57" max="59" width="9.140625" customWidth="1"/>
    <col min="60" max="60" width="10.140625" customWidth="1"/>
  </cols>
  <sheetData>
    <row r="2" spans="1:60" x14ac:dyDescent="0.2">
      <c r="C2" s="3"/>
      <c r="D2" s="3"/>
    </row>
    <row r="3" spans="1:60" ht="14.25" x14ac:dyDescent="0.2">
      <c r="A3" s="94"/>
      <c r="B3" s="95"/>
      <c r="C3" s="95"/>
      <c r="D3" s="3"/>
    </row>
    <row r="4" spans="1:60" ht="25.5" x14ac:dyDescent="0.2">
      <c r="A4" s="120" t="s">
        <v>106</v>
      </c>
      <c r="B4" s="97" t="s">
        <v>9</v>
      </c>
      <c r="C4" s="98"/>
      <c r="D4" s="98"/>
      <c r="E4" s="99"/>
    </row>
    <row r="5" spans="1:60" ht="60.75" customHeight="1" x14ac:dyDescent="0.2">
      <c r="A5" s="97" t="s">
        <v>11</v>
      </c>
      <c r="B5" s="96" t="s">
        <v>26</v>
      </c>
      <c r="C5" s="100" t="s">
        <v>27</v>
      </c>
      <c r="D5" s="100" t="s">
        <v>28</v>
      </c>
      <c r="E5" s="114" t="s">
        <v>30</v>
      </c>
    </row>
    <row r="6" spans="1:60" x14ac:dyDescent="0.2">
      <c r="A6" s="96">
        <v>1</v>
      </c>
      <c r="B6" s="103">
        <v>949700</v>
      </c>
      <c r="C6" s="104">
        <v>0</v>
      </c>
      <c r="D6" s="104">
        <v>0</v>
      </c>
      <c r="E6" s="117">
        <v>949700</v>
      </c>
    </row>
    <row r="7" spans="1:60" x14ac:dyDescent="0.2">
      <c r="A7" s="101">
        <v>13</v>
      </c>
      <c r="B7" s="106">
        <v>0</v>
      </c>
      <c r="C7" s="6">
        <v>1202000</v>
      </c>
      <c r="D7" s="6">
        <v>0</v>
      </c>
      <c r="E7" s="118">
        <v>1202000</v>
      </c>
    </row>
    <row r="8" spans="1:60" x14ac:dyDescent="0.2">
      <c r="A8" s="101">
        <v>25</v>
      </c>
      <c r="B8" s="106">
        <v>0</v>
      </c>
      <c r="C8" s="6">
        <v>0</v>
      </c>
      <c r="D8" s="6">
        <v>3027000</v>
      </c>
      <c r="E8" s="118">
        <v>3027000</v>
      </c>
    </row>
    <row r="9" spans="1:60" x14ac:dyDescent="0.2">
      <c r="A9" s="102" t="s">
        <v>30</v>
      </c>
      <c r="B9" s="107">
        <v>949700</v>
      </c>
      <c r="C9" s="108">
        <v>1202000</v>
      </c>
      <c r="D9" s="108">
        <v>3027000</v>
      </c>
      <c r="E9" s="119">
        <v>5178700</v>
      </c>
    </row>
    <row r="13" spans="1:60" s="4" customFormat="1" x14ac:dyDescent="0.2">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row>
    <row r="29" spans="1:60" s="5" customFormat="1" x14ac:dyDescent="0.2">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row>
  </sheetData>
  <mergeCells count="1">
    <mergeCell ref="A3:C3"/>
  </mergeCells>
  <conditionalFormatting sqref="B38:E118">
    <cfRule type="expression" dxfId="95" priority="1" stopIfTrue="1">
      <formula>$G38&gt;1</formula>
    </cfRule>
  </conditionalFormatting>
  <pageMargins left="0.78740157499999996" right="0.78740157499999996" top="0.984251969" bottom="0.984251969" header="0.4921259845" footer="0.4921259845"/>
  <pageSetup paperSize="9" fitToHeight="8"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C6"/>
  <sheetViews>
    <sheetView workbookViewId="0"/>
  </sheetViews>
  <sheetFormatPr baseColWidth="10" defaultRowHeight="12.75" x14ac:dyDescent="0.2"/>
  <cols>
    <col min="1" max="1" width="13.28515625" style="16" customWidth="1"/>
    <col min="2" max="2" width="16.42578125" style="16" customWidth="1"/>
    <col min="3" max="3" width="20.7109375" style="16" customWidth="1"/>
    <col min="4" max="16384" width="11.42578125" style="16"/>
  </cols>
  <sheetData>
    <row r="1" spans="1:3" x14ac:dyDescent="0.2">
      <c r="A1" s="35" t="s">
        <v>24</v>
      </c>
      <c r="B1" s="35" t="s">
        <v>25</v>
      </c>
      <c r="C1" s="35" t="s">
        <v>22</v>
      </c>
    </row>
    <row r="2" spans="1:3" x14ac:dyDescent="0.2">
      <c r="A2" s="30" t="s">
        <v>23</v>
      </c>
      <c r="B2" s="30">
        <v>0</v>
      </c>
      <c r="C2" s="31">
        <v>40909</v>
      </c>
    </row>
    <row r="3" spans="1:3" x14ac:dyDescent="0.2">
      <c r="A3" s="32" t="s">
        <v>26</v>
      </c>
      <c r="B3" s="32">
        <v>12</v>
      </c>
      <c r="C3" s="33">
        <f>EDATE($C$2,B3)</f>
        <v>41275</v>
      </c>
    </row>
    <row r="4" spans="1:3" x14ac:dyDescent="0.2">
      <c r="A4" s="30" t="s">
        <v>27</v>
      </c>
      <c r="B4" s="30">
        <v>24</v>
      </c>
      <c r="C4" s="33">
        <f t="shared" ref="C4:C5" si="0">EDATE($C$2,B4)</f>
        <v>41640</v>
      </c>
    </row>
    <row r="5" spans="1:3" x14ac:dyDescent="0.2">
      <c r="A5" s="32" t="s">
        <v>28</v>
      </c>
      <c r="B5" s="32">
        <v>36</v>
      </c>
      <c r="C5" s="33">
        <f t="shared" si="0"/>
        <v>42005</v>
      </c>
    </row>
    <row r="6" spans="1:3" x14ac:dyDescent="0.2">
      <c r="A6" s="34" t="s">
        <v>29</v>
      </c>
    </row>
  </sheetData>
  <phoneticPr fontId="2" type="noConversion"/>
  <pageMargins left="0.78740157499999996" right="0.78740157499999996" top="0.984251969" bottom="0.984251969" header="0.4921259845" footer="0.4921259845"/>
  <pageSetup paperSize="9" orientation="portrait"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pageSetUpPr fitToPage="1"/>
  </sheetPr>
  <dimension ref="A1:H6"/>
  <sheetViews>
    <sheetView workbookViewId="0">
      <selection activeCell="B30" sqref="B29:B30"/>
    </sheetView>
  </sheetViews>
  <sheetFormatPr baseColWidth="10" defaultRowHeight="12.75" x14ac:dyDescent="0.2"/>
  <cols>
    <col min="1" max="1" width="13" customWidth="1"/>
    <col min="2" max="2" width="35.5703125" customWidth="1"/>
    <col min="3" max="3" width="16.5703125" customWidth="1"/>
    <col min="4" max="6" width="15.42578125" customWidth="1"/>
  </cols>
  <sheetData>
    <row r="1" spans="1:8" ht="25.5" x14ac:dyDescent="0.2">
      <c r="A1" s="2" t="s">
        <v>5</v>
      </c>
      <c r="B1" s="2" t="s">
        <v>18</v>
      </c>
      <c r="C1" s="2" t="s">
        <v>19</v>
      </c>
      <c r="D1" s="2" t="s">
        <v>20</v>
      </c>
      <c r="E1" s="2" t="s">
        <v>21</v>
      </c>
      <c r="F1" s="61" t="s">
        <v>76</v>
      </c>
      <c r="G1" s="60" t="s">
        <v>62</v>
      </c>
    </row>
    <row r="2" spans="1:8" x14ac:dyDescent="0.2">
      <c r="A2" t="s">
        <v>33</v>
      </c>
      <c r="B2" s="59" t="s">
        <v>67</v>
      </c>
      <c r="C2">
        <v>8000</v>
      </c>
      <c r="D2">
        <v>6000</v>
      </c>
      <c r="E2">
        <v>4000</v>
      </c>
      <c r="F2" t="s">
        <v>64</v>
      </c>
      <c r="G2" s="59" t="s">
        <v>63</v>
      </c>
      <c r="H2" s="9"/>
    </row>
    <row r="3" spans="1:8" x14ac:dyDescent="0.2">
      <c r="A3" t="s">
        <v>35</v>
      </c>
      <c r="B3" s="59" t="s">
        <v>68</v>
      </c>
      <c r="C3">
        <v>7500</v>
      </c>
      <c r="D3">
        <v>5000</v>
      </c>
      <c r="E3">
        <v>3500</v>
      </c>
      <c r="F3" t="s">
        <v>65</v>
      </c>
      <c r="G3" t="s">
        <v>63</v>
      </c>
      <c r="H3" s="9"/>
    </row>
    <row r="4" spans="1:8" x14ac:dyDescent="0.2">
      <c r="A4" s="59" t="s">
        <v>36</v>
      </c>
      <c r="B4" s="59" t="s">
        <v>69</v>
      </c>
      <c r="C4">
        <v>8500</v>
      </c>
      <c r="D4">
        <v>5500</v>
      </c>
      <c r="E4">
        <v>3000</v>
      </c>
      <c r="F4" s="59" t="s">
        <v>70</v>
      </c>
      <c r="G4" t="s">
        <v>63</v>
      </c>
      <c r="H4" s="9"/>
    </row>
    <row r="5" spans="1:8" x14ac:dyDescent="0.2">
      <c r="A5" s="59" t="s">
        <v>71</v>
      </c>
      <c r="B5" s="59" t="s">
        <v>72</v>
      </c>
      <c r="C5">
        <v>6000</v>
      </c>
      <c r="D5">
        <v>5500</v>
      </c>
      <c r="E5">
        <v>4000</v>
      </c>
      <c r="F5" t="s">
        <v>66</v>
      </c>
      <c r="G5" s="59" t="s">
        <v>63</v>
      </c>
      <c r="H5" s="9"/>
    </row>
    <row r="6" spans="1:8" ht="13.5" customHeight="1" x14ac:dyDescent="0.2">
      <c r="A6" s="59" t="s">
        <v>73</v>
      </c>
      <c r="B6" s="59" t="s">
        <v>74</v>
      </c>
      <c r="C6">
        <v>6000</v>
      </c>
      <c r="D6">
        <v>5500</v>
      </c>
      <c r="E6">
        <v>4000</v>
      </c>
      <c r="F6" t="s">
        <v>66</v>
      </c>
      <c r="G6" t="s">
        <v>75</v>
      </c>
      <c r="H6" s="9"/>
    </row>
  </sheetData>
  <sheetProtection formatCells="0" formatColumns="0" formatRows="0" insertRows="0" selectLockedCells="1" sort="0" autoFilter="0" pivotTables="0"/>
  <phoneticPr fontId="2" type="noConversion"/>
  <dataValidations count="2">
    <dataValidation type="list" allowBlank="1" showInputMessage="1" showErrorMessage="1" sqref="G2:G6">
      <formula1>"Complets,Marginaux"</formula1>
    </dataValidation>
    <dataValidation type="list" allowBlank="1" showInputMessage="1" showErrorMessage="1" sqref="F2:F6">
      <formula1>"PE,ME,GE,Labo"</formula1>
    </dataValidation>
  </dataValidations>
  <pageMargins left="0.78740157480314965" right="0.78740157480314965" top="0.98425196850393704" bottom="0.98425196850393704" header="0.51181102362204722" footer="0.51181102362204722"/>
  <pageSetup paperSize="9" scale="80" orientation="landscape" r:id="rId1"/>
  <headerFooter alignWithMargins="0">
    <oddHeader>&amp;F</oddHeader>
    <oddFooter>&amp;A&amp;RPage &amp;P</oddFooter>
  </headerFooter>
  <legacyDrawing r:id="rId2"/>
  <tableParts count="1">
    <tablePart r:id="rId3"/>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
    <tabColor indexed="55"/>
    <pageSetUpPr fitToPage="1"/>
  </sheetPr>
  <dimension ref="A1:AC30"/>
  <sheetViews>
    <sheetView workbookViewId="0">
      <selection activeCell="A7" sqref="A7"/>
    </sheetView>
  </sheetViews>
  <sheetFormatPr baseColWidth="10" defaultRowHeight="12.75" outlineLevelCol="1" x14ac:dyDescent="0.2"/>
  <cols>
    <col min="1" max="1" width="12" style="19" customWidth="1"/>
    <col min="2" max="2" width="15.7109375" style="19" customWidth="1"/>
    <col min="3" max="3" width="9.85546875" style="20" customWidth="1"/>
    <col min="4" max="4" width="52.140625" style="19" customWidth="1"/>
    <col min="5" max="5" width="13" style="19" customWidth="1"/>
    <col min="6" max="6" width="18.140625" style="23" customWidth="1" outlineLevel="1"/>
    <col min="7" max="7" width="15.140625" style="20" customWidth="1"/>
    <col min="8" max="8" width="11.5703125" style="20" customWidth="1"/>
    <col min="9" max="11" width="12.85546875" style="19" bestFit="1" customWidth="1" outlineLevel="1"/>
    <col min="12" max="12" width="15.28515625" style="19" bestFit="1" customWidth="1"/>
    <col min="13" max="13" width="15" style="19" customWidth="1"/>
    <col min="14" max="14" width="14.85546875" style="19" customWidth="1"/>
    <col min="15" max="15" width="15.85546875" style="19" customWidth="1"/>
    <col min="16" max="16" width="27.5703125" style="19" customWidth="1"/>
    <col min="17" max="17" width="18.140625" style="19" customWidth="1"/>
    <col min="18" max="18" width="10.7109375" style="19" customWidth="1"/>
    <col min="19" max="19" width="11.7109375" style="20" customWidth="1"/>
    <col min="20" max="20" width="12.42578125" style="20" customWidth="1"/>
    <col min="21" max="21" width="12.85546875" style="20" customWidth="1"/>
    <col min="22" max="22" width="16.140625" style="20" customWidth="1"/>
    <col min="23" max="23" width="15.5703125" style="20" customWidth="1"/>
    <col min="24" max="24" width="12.7109375" style="20" customWidth="1"/>
    <col min="25" max="25" width="15" style="20" customWidth="1"/>
    <col min="26" max="26" width="16.7109375" style="20" customWidth="1"/>
    <col min="27" max="27" width="16" style="20" customWidth="1"/>
    <col min="28" max="28" width="20" style="20" customWidth="1"/>
    <col min="29" max="29" width="23.28515625" style="22" customWidth="1"/>
    <col min="30" max="16384" width="11.42578125" style="19"/>
  </cols>
  <sheetData>
    <row r="1" spans="1:29" x14ac:dyDescent="0.2">
      <c r="A1" s="18"/>
      <c r="D1" s="21"/>
      <c r="E1" s="21"/>
      <c r="S1" s="23"/>
      <c r="T1" s="23"/>
      <c r="U1" s="23"/>
      <c r="V1" s="23"/>
      <c r="W1" s="23"/>
      <c r="X1" s="23"/>
      <c r="Y1" s="23"/>
      <c r="Z1" s="23"/>
      <c r="AA1" s="23"/>
      <c r="AB1" s="23"/>
    </row>
    <row r="2" spans="1:29" x14ac:dyDescent="0.2">
      <c r="A2" s="86"/>
      <c r="B2" s="87"/>
      <c r="C2" s="88"/>
      <c r="D2" s="89"/>
      <c r="E2" s="89"/>
      <c r="S2" s="23"/>
      <c r="T2" s="23"/>
      <c r="U2" s="23"/>
      <c r="V2" s="23"/>
      <c r="W2" s="23"/>
      <c r="X2" s="23"/>
      <c r="Y2" s="23"/>
      <c r="Z2" s="23"/>
      <c r="AA2" s="23"/>
      <c r="AB2" s="23"/>
    </row>
    <row r="3" spans="1:29" s="22" customFormat="1" ht="20.100000000000001" customHeight="1" x14ac:dyDescent="0.2">
      <c r="A3" s="90"/>
      <c r="B3" s="90"/>
      <c r="C3" s="82"/>
      <c r="D3" s="90"/>
      <c r="E3" s="90"/>
      <c r="F3" s="82"/>
      <c r="G3" s="25" t="s">
        <v>6</v>
      </c>
      <c r="H3" s="25"/>
      <c r="I3" s="26">
        <f>SUM(Tableau_Devis[Personne.mois cat 1])</f>
        <v>249</v>
      </c>
      <c r="J3" s="26">
        <f>SUM(Tableau_Devis[Personne.mois cat 2])</f>
        <v>99</v>
      </c>
      <c r="K3" s="26">
        <f>SUM(Tableau_Devis[Personne.mois cat 3])</f>
        <v>24</v>
      </c>
      <c r="L3" s="26">
        <f>SUM(Tableau_Devis[Dépenses de sous-traitance H.T.])</f>
        <v>727500</v>
      </c>
      <c r="M3" s="26">
        <f>SUM(Tableau_Devis[Contribution aux amortissements])</f>
        <v>262500</v>
      </c>
      <c r="N3" s="26">
        <f>SUM(Tableau_Devis[Autres_dépenses])</f>
        <v>162500</v>
      </c>
      <c r="O3" s="26">
        <f>SUM(Tableau_Devis[Investissements])</f>
        <v>950000</v>
      </c>
      <c r="P3" s="80"/>
      <c r="Q3" s="80"/>
      <c r="R3" s="80"/>
      <c r="T3" s="46">
        <f>SUM(Tableau_Devis[Total pers.mois présentés])</f>
        <v>372</v>
      </c>
      <c r="U3" s="46">
        <f ca="1">SUM(Tableau_Devis[Salaires])</f>
        <v>2563500</v>
      </c>
      <c r="V3" s="46">
        <f ca="1">SUM(Tableau_Devis[Frais généraux])</f>
        <v>512700</v>
      </c>
      <c r="W3" s="46">
        <f>SUM(Tableau_Devis[Sous-traitance])</f>
        <v>727500</v>
      </c>
      <c r="X3" s="46">
        <f>SUM(Tableau_Devis[Dotations aux amortissements])</f>
        <v>262500</v>
      </c>
      <c r="Y3" s="46">
        <f>SUM(Tableau_Devis[Autres dépenses])</f>
        <v>162500</v>
      </c>
      <c r="Z3" s="46">
        <f ca="1">SUM(Tableau_Devis[Coûts de fonctionnement])</f>
        <v>4228700</v>
      </c>
      <c r="AA3" s="46">
        <f>SUM(Tableau_Devis[Coûts d''investissement])</f>
        <v>950000</v>
      </c>
      <c r="AB3" s="46">
        <f ca="1">SUM(Tableau_Devis[Coûts totaux])</f>
        <v>5178700</v>
      </c>
    </row>
    <row r="4" spans="1:29" s="22" customFormat="1" ht="18" customHeight="1" x14ac:dyDescent="0.2">
      <c r="A4" s="83"/>
      <c r="B4" s="84"/>
      <c r="C4" s="85"/>
      <c r="D4" s="84"/>
      <c r="E4" s="84"/>
      <c r="F4" s="82"/>
      <c r="G4" s="25" t="s">
        <v>7</v>
      </c>
      <c r="H4" s="25"/>
      <c r="I4" s="27">
        <f>SUBTOTAL(9,Tableau_Devis[Personne.mois cat 1])</f>
        <v>249</v>
      </c>
      <c r="J4" s="27">
        <f>SUBTOTAL(9,Tableau_Devis[Personne.mois cat 2])</f>
        <v>99</v>
      </c>
      <c r="K4" s="27">
        <f>SUBTOTAL(9,Tableau_Devis[Personne.mois cat 3])</f>
        <v>24</v>
      </c>
      <c r="L4" s="27">
        <f>SUBTOTAL(9,Tableau_Devis[Dépenses de sous-traitance H.T.])</f>
        <v>727500</v>
      </c>
      <c r="M4" s="27">
        <f>SUBTOTAL(9,Tableau_Devis[Contribution aux amortissements])</f>
        <v>262500</v>
      </c>
      <c r="N4" s="27">
        <f>SUBTOTAL(9,Tableau_Devis[Autres_dépenses])</f>
        <v>162500</v>
      </c>
      <c r="O4" s="27">
        <f>SUBTOTAL(9,Tableau_Devis[Investissements])</f>
        <v>950000</v>
      </c>
      <c r="P4" s="81"/>
      <c r="Q4" s="81"/>
      <c r="R4" s="81"/>
      <c r="S4" s="28"/>
      <c r="T4" s="47">
        <f>SUBTOTAL(9,Tableau_Devis[Total pers.mois présentés])</f>
        <v>372</v>
      </c>
      <c r="U4" s="47">
        <f ca="1">SUBTOTAL(9,Tableau_Devis[Salaires])</f>
        <v>2563500</v>
      </c>
      <c r="V4" s="47">
        <f ca="1">SUBTOTAL(9,Tableau_Devis[Frais généraux])</f>
        <v>512700</v>
      </c>
      <c r="W4" s="47">
        <f>SUBTOTAL(9,Tableau_Devis[Sous-traitance])</f>
        <v>727500</v>
      </c>
      <c r="X4" s="47">
        <f>SUBTOTAL(9,Tableau_Devis[Dotations aux amortissements])</f>
        <v>262500</v>
      </c>
      <c r="Y4" s="47">
        <f>SUBTOTAL(9,Tableau_Devis[Autres dépenses])</f>
        <v>162500</v>
      </c>
      <c r="Z4" s="47">
        <f ca="1">SUBTOTAL(9,Tableau_Devis[Coûts de fonctionnement])</f>
        <v>4228700</v>
      </c>
      <c r="AA4" s="47">
        <f>SUBTOTAL(9,Tableau_Devis[Coûts d''investissement])</f>
        <v>950000</v>
      </c>
      <c r="AB4" s="47">
        <f ca="1">SUBTOTAL(9,Tableau_Devis[Coûts totaux])</f>
        <v>5178700</v>
      </c>
    </row>
    <row r="5" spans="1:29" s="24" customFormat="1" ht="17.25" customHeight="1" x14ac:dyDescent="0.2">
      <c r="A5" s="49"/>
      <c r="B5" s="50" t="s">
        <v>59</v>
      </c>
      <c r="C5" s="51"/>
      <c r="D5" s="49"/>
      <c r="E5" s="53" t="s">
        <v>59</v>
      </c>
      <c r="F5" s="52"/>
      <c r="G5" s="52"/>
      <c r="H5" s="53" t="s">
        <v>59</v>
      </c>
      <c r="I5" s="49"/>
      <c r="J5" s="49"/>
      <c r="K5" s="50" t="s">
        <v>59</v>
      </c>
      <c r="L5" s="49"/>
      <c r="M5" s="49"/>
      <c r="N5" s="50" t="s">
        <v>59</v>
      </c>
      <c r="O5" s="50"/>
      <c r="P5" s="54" t="s">
        <v>58</v>
      </c>
      <c r="Q5" s="54"/>
      <c r="R5" s="56" t="s">
        <v>58</v>
      </c>
      <c r="S5" s="55"/>
      <c r="T5" s="56" t="s">
        <v>58</v>
      </c>
      <c r="U5" s="55"/>
      <c r="V5" s="55"/>
      <c r="W5" s="56" t="s">
        <v>58</v>
      </c>
      <c r="X5" s="55"/>
      <c r="Y5" s="56"/>
      <c r="Z5" s="56" t="s">
        <v>58</v>
      </c>
      <c r="AA5" s="55"/>
      <c r="AB5" s="55"/>
    </row>
    <row r="6" spans="1:29" ht="113.25" customHeight="1" x14ac:dyDescent="0.2">
      <c r="A6" s="39" t="s">
        <v>1</v>
      </c>
      <c r="B6" s="40" t="s">
        <v>15</v>
      </c>
      <c r="C6" s="40" t="s">
        <v>2</v>
      </c>
      <c r="D6" s="40" t="s">
        <v>77</v>
      </c>
      <c r="E6" s="40" t="s">
        <v>3</v>
      </c>
      <c r="F6" s="41" t="s">
        <v>11</v>
      </c>
      <c r="G6" s="40" t="s">
        <v>10</v>
      </c>
      <c r="H6" s="40" t="s">
        <v>8</v>
      </c>
      <c r="I6" s="42" t="s">
        <v>12</v>
      </c>
      <c r="J6" s="42" t="s">
        <v>13</v>
      </c>
      <c r="K6" s="42" t="s">
        <v>14</v>
      </c>
      <c r="L6" s="42" t="s">
        <v>16</v>
      </c>
      <c r="M6" s="42" t="s">
        <v>4</v>
      </c>
      <c r="N6" s="57" t="s">
        <v>84</v>
      </c>
      <c r="O6" s="57" t="s">
        <v>109</v>
      </c>
      <c r="P6" s="62" t="s">
        <v>78</v>
      </c>
      <c r="Q6" s="71" t="s">
        <v>62</v>
      </c>
      <c r="R6" s="63" t="s">
        <v>55</v>
      </c>
      <c r="S6" s="58" t="s">
        <v>9</v>
      </c>
      <c r="T6" s="45" t="s">
        <v>56</v>
      </c>
      <c r="U6" s="45" t="s">
        <v>79</v>
      </c>
      <c r="V6" s="45" t="s">
        <v>80</v>
      </c>
      <c r="W6" s="45" t="s">
        <v>81</v>
      </c>
      <c r="X6" s="45" t="s">
        <v>82</v>
      </c>
      <c r="Y6" s="45" t="s">
        <v>17</v>
      </c>
      <c r="Z6" s="45" t="s">
        <v>83</v>
      </c>
      <c r="AA6" s="45" t="s">
        <v>85</v>
      </c>
      <c r="AB6" s="45" t="s">
        <v>86</v>
      </c>
      <c r="AC6" s="19"/>
    </row>
    <row r="7" spans="1:29" ht="20.100000000000001" customHeight="1" x14ac:dyDescent="0.2">
      <c r="A7" s="66" t="s">
        <v>31</v>
      </c>
      <c r="B7" s="67"/>
      <c r="C7" s="68">
        <v>1</v>
      </c>
      <c r="D7" s="69" t="s">
        <v>32</v>
      </c>
      <c r="E7" s="69" t="s">
        <v>33</v>
      </c>
      <c r="F7" s="68">
        <v>1</v>
      </c>
      <c r="G7" s="68">
        <v>12</v>
      </c>
      <c r="H7" s="68" t="s">
        <v>34</v>
      </c>
      <c r="I7" s="70">
        <v>1</v>
      </c>
      <c r="J7" s="70"/>
      <c r="K7" s="70"/>
      <c r="L7" s="70"/>
      <c r="M7" s="70"/>
      <c r="N7" s="70">
        <v>1000</v>
      </c>
      <c r="O7" s="65"/>
      <c r="P7" s="91" t="str">
        <f>IF(AND(SUM(Tableau_Devis[[#This Row],[Personne.mois cat 1]:[Autres_dépenses]])&lt;&gt;0,Tableau_Devis[[#This Row],[Investissements]]=0),"Fonctionnement",IF(AND(SUM(Tableau_Devis[[#This Row],[Personne.mois cat 1]:[Autres_dépenses]])=0,Tableau_Devis[[#This Row],[Investissements]]&lt;&gt;0),"Investissement","#ERR"))</f>
        <v>Fonctionnement</v>
      </c>
      <c r="Q7" s="64" t="str">
        <f>VLOOKUP(Tableau_Devis[[#This Row],[Partenaire]],Tableau_Partenaires[],7,FALSE)</f>
        <v>Complets</v>
      </c>
      <c r="R7" s="64">
        <f>Tableau_Devis[[#This Row],[Mois de fin]]-Tableau_Devis[[#This Row],[Mois de début]]+1</f>
        <v>12</v>
      </c>
      <c r="S7" s="29" t="str">
        <f>INDEX(Tableau_Calendrier[Etapes clés],MATCH(Tableau_Devis[[#This Row],[Mois de fin]]-1,Tableau_Calendrier[Délais en mois])+1)</f>
        <v>EC01</v>
      </c>
      <c r="T7" s="44">
        <f>IF(Tableau_Devis[[#This Row],[Destination des aides]]="Fonctionnement",SUM(Tableau_Devis[[#This Row],[Personne.mois cat 1]:[Personne.mois cat 3]]),0)</f>
        <v>1</v>
      </c>
      <c r="U7" s="73">
        <f ca="1">IF(Tableau_Devis[[#This Row],[Destination des aides]]="Fonctionnement",ROUND(SUMPRODUCT(OFFSET(Tableau_Partenaires[[#Headers],[Nom court]],MATCH(Tableau_Devis[[#This Row],[Partenaire]],Tableau_Partenaires[Nom court],0),MATCH("Salaire Cat. 1",Tableau_Partenaires[#Headers],0)-1,1,3),Tableau_Devis[[#This Row],[Personne.mois cat 1]:[Personne.mois cat 3]]),0),0)</f>
        <v>8000</v>
      </c>
      <c r="V7" s="73">
        <f ca="1">IF(Tableau_Devis[[#This Row],[Destination des aides]]="Fonctionnement", ROUND(20%*Tableau_Devis[[#This Row],[Salaires]],0),0)</f>
        <v>1600</v>
      </c>
      <c r="W7" s="73">
        <f>IF(Tableau_Devis[[#This Row],[Destination des aides]]="Fonctionnement",ROUND(Tableau_Devis[[#This Row],[Dépenses de sous-traitance H.T.]],0),0)</f>
        <v>0</v>
      </c>
      <c r="X7" s="73">
        <f>IF(Tableau_Devis[[#This Row],[Destination des aides]]="Fonctionnement",ROUND(Tableau_Devis[[#This Row],[Contribution aux amortissements]],0),0)</f>
        <v>0</v>
      </c>
      <c r="Y7" s="73">
        <f>IF(Tableau_Devis[[#This Row],[Destination des aides]]="Fonctionnement",ROUND(Tableau_Devis[[#This Row],[Autres_dépenses]],0),0)</f>
        <v>1000</v>
      </c>
      <c r="Z7" s="73">
        <f ca="1">SUM(Tableau_Devis[[#This Row],[Salaires]:[Autres dépenses]])</f>
        <v>10600</v>
      </c>
      <c r="AA7" s="73">
        <f>IF(Tableau_Devis[[#This Row],[Destination des aides]]="Investissement",ROUND(Tableau_Devis[[#This Row],[Investissements]],0),0)</f>
        <v>0</v>
      </c>
      <c r="AB7" s="73">
        <f ca="1">Tableau_Devis[[#This Row],[Coûts de fonctionnement]]+Tableau_Devis[[#This Row],[Coûts d''investissement]]</f>
        <v>10600</v>
      </c>
      <c r="AC7" s="19"/>
    </row>
    <row r="8" spans="1:29" ht="20.100000000000001" customHeight="1" x14ac:dyDescent="0.2">
      <c r="A8" s="66" t="s">
        <v>31</v>
      </c>
      <c r="B8" s="67"/>
      <c r="C8" s="68">
        <v>2</v>
      </c>
      <c r="D8" s="69" t="s">
        <v>32</v>
      </c>
      <c r="E8" s="77" t="s">
        <v>33</v>
      </c>
      <c r="F8" s="68">
        <v>13</v>
      </c>
      <c r="G8" s="68">
        <v>18</v>
      </c>
      <c r="H8" s="68" t="s">
        <v>37</v>
      </c>
      <c r="I8" s="70">
        <v>1</v>
      </c>
      <c r="J8" s="70"/>
      <c r="K8" s="70"/>
      <c r="L8" s="70"/>
      <c r="M8" s="70"/>
      <c r="N8" s="70">
        <v>1000</v>
      </c>
      <c r="O8" s="65"/>
      <c r="P8" s="91" t="str">
        <f>IF(AND(SUM(Tableau_Devis[[#This Row],[Personne.mois cat 1]:[Autres_dépenses]])&lt;&gt;0,Tableau_Devis[[#This Row],[Investissements]]=0),"Fonctionnement",IF(AND(SUM(Tableau_Devis[[#This Row],[Personne.mois cat 1]:[Autres_dépenses]])=0,Tableau_Devis[[#This Row],[Investissements]]&lt;&gt;0),"Investissement","#ERR"))</f>
        <v>Fonctionnement</v>
      </c>
      <c r="Q8" s="64" t="str">
        <f>VLOOKUP(Tableau_Devis[[#This Row],[Partenaire]],Tableau_Partenaires[],7,FALSE)</f>
        <v>Complets</v>
      </c>
      <c r="R8" s="64">
        <f>Tableau_Devis[[#This Row],[Mois de fin]]-Tableau_Devis[[#This Row],[Mois de début]]+1</f>
        <v>6</v>
      </c>
      <c r="S8" s="43" t="str">
        <f>INDEX(Tableau_Calendrier[Etapes clés],MATCH(Tableau_Devis[[#This Row],[Mois de fin]]-1,Tableau_Calendrier[Délais en mois])+1)</f>
        <v>EC02</v>
      </c>
      <c r="T8" s="43">
        <f>IF(Tableau_Devis[[#This Row],[Destination des aides]]="Fonctionnement",SUM(Tableau_Devis[[#This Row],[Personne.mois cat 1]:[Personne.mois cat 3]]),0)</f>
        <v>1</v>
      </c>
      <c r="U8" s="73">
        <f ca="1">IF(Tableau_Devis[[#This Row],[Destination des aides]]="Fonctionnement",ROUND(SUMPRODUCT(OFFSET(Tableau_Partenaires[[#Headers],[Nom court]],MATCH(Tableau_Devis[[#This Row],[Partenaire]],Tableau_Partenaires[Nom court],0),MATCH("Salaire Cat. 1",Tableau_Partenaires[#Headers],0)-1,1,3),Tableau_Devis[[#This Row],[Personne.mois cat 1]:[Personne.mois cat 3]]),0),0)</f>
        <v>8000</v>
      </c>
      <c r="V8" s="73">
        <f ca="1">IF(Tableau_Devis[[#This Row],[Destination des aides]]="Fonctionnement", ROUND(20%*Tableau_Devis[[#This Row],[Salaires]],0),0)</f>
        <v>1600</v>
      </c>
      <c r="W8" s="73">
        <f>IF(Tableau_Devis[[#This Row],[Destination des aides]]="Fonctionnement",ROUND(Tableau_Devis[[#This Row],[Dépenses de sous-traitance H.T.]],0),0)</f>
        <v>0</v>
      </c>
      <c r="X8" s="73">
        <f>IF(Tableau_Devis[[#This Row],[Destination des aides]]="Fonctionnement",ROUND(Tableau_Devis[[#This Row],[Contribution aux amortissements]],0),0)</f>
        <v>0</v>
      </c>
      <c r="Y8" s="73">
        <f>IF(Tableau_Devis[[#This Row],[Destination des aides]]="Fonctionnement",ROUND(Tableau_Devis[[#This Row],[Autres_dépenses]],0),0)</f>
        <v>1000</v>
      </c>
      <c r="Z8" s="73">
        <f ca="1">SUM(Tableau_Devis[[#This Row],[Salaires]:[Autres dépenses]])</f>
        <v>10600</v>
      </c>
      <c r="AA8" s="73">
        <f>IF(Tableau_Devis[[#This Row],[Destination des aides]]="Investissement",ROUND(Tableau_Devis[[#This Row],[Investissements]],0),0)</f>
        <v>0</v>
      </c>
      <c r="AB8" s="73">
        <f ca="1">Tableau_Devis[[#This Row],[Coûts de fonctionnement]]+Tableau_Devis[[#This Row],[Coûts d''investissement]]</f>
        <v>10600</v>
      </c>
      <c r="AC8" s="19"/>
    </row>
    <row r="9" spans="1:29" ht="20.100000000000001" customHeight="1" x14ac:dyDescent="0.2">
      <c r="A9" s="66" t="s">
        <v>31</v>
      </c>
      <c r="B9" s="67"/>
      <c r="C9" s="68">
        <v>3</v>
      </c>
      <c r="D9" s="69" t="s">
        <v>32</v>
      </c>
      <c r="E9" s="77" t="s">
        <v>33</v>
      </c>
      <c r="F9" s="68">
        <v>25</v>
      </c>
      <c r="G9" s="68">
        <v>36</v>
      </c>
      <c r="H9" s="68" t="s">
        <v>38</v>
      </c>
      <c r="I9" s="70">
        <v>1</v>
      </c>
      <c r="J9" s="70"/>
      <c r="K9" s="70"/>
      <c r="L9" s="70"/>
      <c r="M9" s="70"/>
      <c r="N9" s="70">
        <v>1000</v>
      </c>
      <c r="O9" s="65"/>
      <c r="P9" s="91" t="str">
        <f>IF(AND(SUM(Tableau_Devis[[#This Row],[Personne.mois cat 1]:[Autres_dépenses]])&lt;&gt;0,Tableau_Devis[[#This Row],[Investissements]]=0),"Fonctionnement",IF(AND(SUM(Tableau_Devis[[#This Row],[Personne.mois cat 1]:[Autres_dépenses]])=0,Tableau_Devis[[#This Row],[Investissements]]&lt;&gt;0),"Investissement","#ERR"))</f>
        <v>Fonctionnement</v>
      </c>
      <c r="Q9" s="64" t="str">
        <f>VLOOKUP(Tableau_Devis[[#This Row],[Partenaire]],Tableau_Partenaires[],7,FALSE)</f>
        <v>Complets</v>
      </c>
      <c r="R9" s="64">
        <f>Tableau_Devis[[#This Row],[Mois de fin]]-Tableau_Devis[[#This Row],[Mois de début]]+1</f>
        <v>12</v>
      </c>
      <c r="S9" s="43" t="str">
        <f>INDEX(Tableau_Calendrier[Etapes clés],MATCH(Tableau_Devis[[#This Row],[Mois de fin]]-1,Tableau_Calendrier[Délais en mois])+1)</f>
        <v>EC03</v>
      </c>
      <c r="T9" s="43">
        <f>IF(Tableau_Devis[[#This Row],[Destination des aides]]="Fonctionnement",SUM(Tableau_Devis[[#This Row],[Personne.mois cat 1]:[Personne.mois cat 3]]),0)</f>
        <v>1</v>
      </c>
      <c r="U9" s="73">
        <f ca="1">IF(Tableau_Devis[[#This Row],[Destination des aides]]="Fonctionnement",ROUND(SUMPRODUCT(OFFSET(Tableau_Partenaires[[#Headers],[Nom court]],MATCH(Tableau_Devis[[#This Row],[Partenaire]],Tableau_Partenaires[Nom court],0),MATCH("Salaire Cat. 1",Tableau_Partenaires[#Headers],0)-1,1,3),Tableau_Devis[[#This Row],[Personne.mois cat 1]:[Personne.mois cat 3]]),0),0)</f>
        <v>8000</v>
      </c>
      <c r="V9" s="73">
        <f ca="1">IF(Tableau_Devis[[#This Row],[Destination des aides]]="Fonctionnement", ROUND(20%*Tableau_Devis[[#This Row],[Salaires]],0),0)</f>
        <v>1600</v>
      </c>
      <c r="W9" s="73">
        <f>IF(Tableau_Devis[[#This Row],[Destination des aides]]="Fonctionnement",ROUND(Tableau_Devis[[#This Row],[Dépenses de sous-traitance H.T.]],0),0)</f>
        <v>0</v>
      </c>
      <c r="X9" s="73">
        <f>IF(Tableau_Devis[[#This Row],[Destination des aides]]="Fonctionnement",ROUND(Tableau_Devis[[#This Row],[Contribution aux amortissements]],0),0)</f>
        <v>0</v>
      </c>
      <c r="Y9" s="73">
        <f>IF(Tableau_Devis[[#This Row],[Destination des aides]]="Fonctionnement",ROUND(Tableau_Devis[[#This Row],[Autres_dépenses]],0),0)</f>
        <v>1000</v>
      </c>
      <c r="Z9" s="73">
        <f ca="1">SUM(Tableau_Devis[[#This Row],[Salaires]:[Autres dépenses]])</f>
        <v>10600</v>
      </c>
      <c r="AA9" s="73">
        <f>IF(Tableau_Devis[[#This Row],[Destination des aides]]="Investissement",ROUND(Tableau_Devis[[#This Row],[Investissements]],0),0)</f>
        <v>0</v>
      </c>
      <c r="AB9" s="73">
        <f ca="1">Tableau_Devis[[#This Row],[Coûts de fonctionnement]]+Tableau_Devis[[#This Row],[Coûts d''investissement]]</f>
        <v>10600</v>
      </c>
      <c r="AC9" s="19"/>
    </row>
    <row r="10" spans="1:29" ht="20.100000000000001" customHeight="1" x14ac:dyDescent="0.2">
      <c r="A10" s="66" t="s">
        <v>39</v>
      </c>
      <c r="B10" s="67"/>
      <c r="C10" s="68">
        <v>1</v>
      </c>
      <c r="D10" s="69" t="s">
        <v>87</v>
      </c>
      <c r="E10" s="77" t="s">
        <v>33</v>
      </c>
      <c r="F10" s="68">
        <v>1</v>
      </c>
      <c r="G10" s="68">
        <v>12</v>
      </c>
      <c r="H10" s="68" t="s">
        <v>40</v>
      </c>
      <c r="I10" s="70">
        <v>12</v>
      </c>
      <c r="J10" s="70">
        <v>6</v>
      </c>
      <c r="K10" s="70">
        <v>3</v>
      </c>
      <c r="L10" s="70">
        <v>50000</v>
      </c>
      <c r="M10" s="70">
        <v>25000</v>
      </c>
      <c r="N10" s="70">
        <v>10000</v>
      </c>
      <c r="O10" s="65"/>
      <c r="P10" s="91" t="str">
        <f>IF(AND(SUM(Tableau_Devis[[#This Row],[Personne.mois cat 1]:[Autres_dépenses]])&lt;&gt;0,Tableau_Devis[[#This Row],[Investissements]]=0),"Fonctionnement",IF(AND(SUM(Tableau_Devis[[#This Row],[Personne.mois cat 1]:[Autres_dépenses]])=0,Tableau_Devis[[#This Row],[Investissements]]&lt;&gt;0),"Investissement","#ERR"))</f>
        <v>Fonctionnement</v>
      </c>
      <c r="Q10" s="64" t="str">
        <f>VLOOKUP(Tableau_Devis[[#This Row],[Partenaire]],Tableau_Partenaires[],7,FALSE)</f>
        <v>Complets</v>
      </c>
      <c r="R10" s="64">
        <f>Tableau_Devis[[#This Row],[Mois de fin]]-Tableau_Devis[[#This Row],[Mois de début]]+1</f>
        <v>12</v>
      </c>
      <c r="S10" s="43" t="str">
        <f>INDEX(Tableau_Calendrier[Etapes clés],MATCH(Tableau_Devis[[#This Row],[Mois de fin]]-1,Tableau_Calendrier[Délais en mois])+1)</f>
        <v>EC01</v>
      </c>
      <c r="T10" s="43">
        <f>IF(Tableau_Devis[[#This Row],[Destination des aides]]="Fonctionnement",SUM(Tableau_Devis[[#This Row],[Personne.mois cat 1]:[Personne.mois cat 3]]),0)</f>
        <v>21</v>
      </c>
      <c r="U10" s="73">
        <f ca="1">IF(Tableau_Devis[[#This Row],[Destination des aides]]="Fonctionnement",ROUND(SUMPRODUCT(OFFSET(Tableau_Partenaires[[#Headers],[Nom court]],MATCH(Tableau_Devis[[#This Row],[Partenaire]],Tableau_Partenaires[Nom court],0),MATCH("Salaire Cat. 1",Tableau_Partenaires[#Headers],0)-1,1,3),Tableau_Devis[[#This Row],[Personne.mois cat 1]:[Personne.mois cat 3]]),0),0)</f>
        <v>144000</v>
      </c>
      <c r="V10" s="73">
        <f ca="1">IF(Tableau_Devis[[#This Row],[Destination des aides]]="Fonctionnement", ROUND(20%*Tableau_Devis[[#This Row],[Salaires]],0),0)</f>
        <v>28800</v>
      </c>
      <c r="W10" s="73">
        <f>IF(Tableau_Devis[[#This Row],[Destination des aides]]="Fonctionnement",ROUND(Tableau_Devis[[#This Row],[Dépenses de sous-traitance H.T.]],0),0)</f>
        <v>50000</v>
      </c>
      <c r="X10" s="73">
        <f>IF(Tableau_Devis[[#This Row],[Destination des aides]]="Fonctionnement",ROUND(Tableau_Devis[[#This Row],[Contribution aux amortissements]],0),0)</f>
        <v>25000</v>
      </c>
      <c r="Y10" s="73">
        <f>IF(Tableau_Devis[[#This Row],[Destination des aides]]="Fonctionnement",ROUND(Tableau_Devis[[#This Row],[Autres_dépenses]],0),0)</f>
        <v>10000</v>
      </c>
      <c r="Z10" s="73">
        <f ca="1">SUM(Tableau_Devis[[#This Row],[Salaires]:[Autres dépenses]])</f>
        <v>257800</v>
      </c>
      <c r="AA10" s="73">
        <f>IF(Tableau_Devis[[#This Row],[Destination des aides]]="Investissement",ROUND(Tableau_Devis[[#This Row],[Investissements]],0),0)</f>
        <v>0</v>
      </c>
      <c r="AB10" s="73">
        <f ca="1">Tableau_Devis[[#This Row],[Coûts de fonctionnement]]+Tableau_Devis[[#This Row],[Coûts d''investissement]]</f>
        <v>257800</v>
      </c>
      <c r="AC10" s="19"/>
    </row>
    <row r="11" spans="1:29" ht="20.100000000000001" customHeight="1" x14ac:dyDescent="0.2">
      <c r="A11" s="66" t="s">
        <v>39</v>
      </c>
      <c r="B11" s="67"/>
      <c r="C11" s="68">
        <v>1</v>
      </c>
      <c r="D11" s="69" t="s">
        <v>87</v>
      </c>
      <c r="E11" s="77" t="s">
        <v>35</v>
      </c>
      <c r="F11" s="68">
        <v>1</v>
      </c>
      <c r="G11" s="68">
        <v>12</v>
      </c>
      <c r="H11" s="68" t="s">
        <v>40</v>
      </c>
      <c r="I11" s="70">
        <v>6</v>
      </c>
      <c r="J11" s="70">
        <v>3</v>
      </c>
      <c r="K11" s="70"/>
      <c r="L11" s="70">
        <v>15000</v>
      </c>
      <c r="M11" s="70">
        <v>5000</v>
      </c>
      <c r="N11" s="70">
        <v>5000</v>
      </c>
      <c r="O11" s="65"/>
      <c r="P11" s="91" t="str">
        <f>IF(AND(SUM(Tableau_Devis[[#This Row],[Personne.mois cat 1]:[Autres_dépenses]])&lt;&gt;0,Tableau_Devis[[#This Row],[Investissements]]=0),"Fonctionnement",IF(AND(SUM(Tableau_Devis[[#This Row],[Personne.mois cat 1]:[Autres_dépenses]])=0,Tableau_Devis[[#This Row],[Investissements]]&lt;&gt;0),"Investissement","#ERR"))</f>
        <v>Fonctionnement</v>
      </c>
      <c r="Q11" s="64" t="str">
        <f>VLOOKUP(Tableau_Devis[[#This Row],[Partenaire]],Tableau_Partenaires[],7,FALSE)</f>
        <v>Complets</v>
      </c>
      <c r="R11" s="64">
        <f>Tableau_Devis[[#This Row],[Mois de fin]]-Tableau_Devis[[#This Row],[Mois de début]]+1</f>
        <v>12</v>
      </c>
      <c r="S11" s="43" t="str">
        <f>INDEX(Tableau_Calendrier[Etapes clés],MATCH(Tableau_Devis[[#This Row],[Mois de fin]]-1,Tableau_Calendrier[Délais en mois])+1)</f>
        <v>EC01</v>
      </c>
      <c r="T11" s="43">
        <f>IF(Tableau_Devis[[#This Row],[Destination des aides]]="Fonctionnement",SUM(Tableau_Devis[[#This Row],[Personne.mois cat 1]:[Personne.mois cat 3]]),0)</f>
        <v>9</v>
      </c>
      <c r="U11" s="73">
        <f ca="1">IF(Tableau_Devis[[#This Row],[Destination des aides]]="Fonctionnement",ROUND(SUMPRODUCT(OFFSET(Tableau_Partenaires[[#Headers],[Nom court]],MATCH(Tableau_Devis[[#This Row],[Partenaire]],Tableau_Partenaires[Nom court],0),MATCH("Salaire Cat. 1",Tableau_Partenaires[#Headers],0)-1,1,3),Tableau_Devis[[#This Row],[Personne.mois cat 1]:[Personne.mois cat 3]]),0),0)</f>
        <v>60000</v>
      </c>
      <c r="V11" s="73">
        <f ca="1">IF(Tableau_Devis[[#This Row],[Destination des aides]]="Fonctionnement", ROUND(20%*Tableau_Devis[[#This Row],[Salaires]],0),0)</f>
        <v>12000</v>
      </c>
      <c r="W11" s="73">
        <f>IF(Tableau_Devis[[#This Row],[Destination des aides]]="Fonctionnement",ROUND(Tableau_Devis[[#This Row],[Dépenses de sous-traitance H.T.]],0),0)</f>
        <v>15000</v>
      </c>
      <c r="X11" s="73">
        <f>IF(Tableau_Devis[[#This Row],[Destination des aides]]="Fonctionnement",ROUND(Tableau_Devis[[#This Row],[Contribution aux amortissements]],0),0)</f>
        <v>5000</v>
      </c>
      <c r="Y11" s="73">
        <f>IF(Tableau_Devis[[#This Row],[Destination des aides]]="Fonctionnement",ROUND(Tableau_Devis[[#This Row],[Autres_dépenses]],0),0)</f>
        <v>5000</v>
      </c>
      <c r="Z11" s="73">
        <f ca="1">SUM(Tableau_Devis[[#This Row],[Salaires]:[Autres dépenses]])</f>
        <v>97000</v>
      </c>
      <c r="AA11" s="73">
        <f>IF(Tableau_Devis[[#This Row],[Destination des aides]]="Investissement",ROUND(Tableau_Devis[[#This Row],[Investissements]],0),0)</f>
        <v>0</v>
      </c>
      <c r="AB11" s="73">
        <f ca="1">Tableau_Devis[[#This Row],[Coûts de fonctionnement]]+Tableau_Devis[[#This Row],[Coûts d''investissement]]</f>
        <v>97000</v>
      </c>
      <c r="AC11" s="19"/>
    </row>
    <row r="12" spans="1:29" ht="20.100000000000001" customHeight="1" x14ac:dyDescent="0.2">
      <c r="A12" s="66" t="s">
        <v>39</v>
      </c>
      <c r="B12" s="67"/>
      <c r="C12" s="68">
        <v>1</v>
      </c>
      <c r="D12" s="69" t="s">
        <v>87</v>
      </c>
      <c r="E12" s="77" t="s">
        <v>36</v>
      </c>
      <c r="F12" s="68">
        <v>1</v>
      </c>
      <c r="G12" s="68">
        <v>12</v>
      </c>
      <c r="H12" s="68" t="s">
        <v>40</v>
      </c>
      <c r="I12" s="70">
        <v>6</v>
      </c>
      <c r="J12" s="70">
        <v>3</v>
      </c>
      <c r="K12" s="70"/>
      <c r="L12" s="70">
        <v>2500</v>
      </c>
      <c r="M12" s="70">
        <v>2500</v>
      </c>
      <c r="N12" s="70">
        <v>2500</v>
      </c>
      <c r="O12" s="65"/>
      <c r="P12" s="91" t="str">
        <f>IF(AND(SUM(Tableau_Devis[[#This Row],[Personne.mois cat 1]:[Autres_dépenses]])&lt;&gt;0,Tableau_Devis[[#This Row],[Investissements]]=0),"Fonctionnement",IF(AND(SUM(Tableau_Devis[[#This Row],[Personne.mois cat 1]:[Autres_dépenses]])=0,Tableau_Devis[[#This Row],[Investissements]]&lt;&gt;0),"Investissement","#ERR"))</f>
        <v>Fonctionnement</v>
      </c>
      <c r="Q12" s="64" t="str">
        <f>VLOOKUP(Tableau_Devis[[#This Row],[Partenaire]],Tableau_Partenaires[],7,FALSE)</f>
        <v>Complets</v>
      </c>
      <c r="R12" s="64">
        <f>Tableau_Devis[[#This Row],[Mois de fin]]-Tableau_Devis[[#This Row],[Mois de début]]+1</f>
        <v>12</v>
      </c>
      <c r="S12" s="43" t="str">
        <f>INDEX(Tableau_Calendrier[Etapes clés],MATCH(Tableau_Devis[[#This Row],[Mois de fin]]-1,Tableau_Calendrier[Délais en mois])+1)</f>
        <v>EC01</v>
      </c>
      <c r="T12" s="43">
        <f>IF(Tableau_Devis[[#This Row],[Destination des aides]]="Fonctionnement",SUM(Tableau_Devis[[#This Row],[Personne.mois cat 1]:[Personne.mois cat 3]]),0)</f>
        <v>9</v>
      </c>
      <c r="U12" s="73">
        <f ca="1">IF(Tableau_Devis[[#This Row],[Destination des aides]]="Fonctionnement",ROUND(SUMPRODUCT(OFFSET(Tableau_Partenaires[[#Headers],[Nom court]],MATCH(Tableau_Devis[[#This Row],[Partenaire]],Tableau_Partenaires[Nom court],0),MATCH("Salaire Cat. 1",Tableau_Partenaires[#Headers],0)-1,1,3),Tableau_Devis[[#This Row],[Personne.mois cat 1]:[Personne.mois cat 3]]),0),0)</f>
        <v>67500</v>
      </c>
      <c r="V12" s="73">
        <f ca="1">IF(Tableau_Devis[[#This Row],[Destination des aides]]="Fonctionnement", ROUND(20%*Tableau_Devis[[#This Row],[Salaires]],0),0)</f>
        <v>13500</v>
      </c>
      <c r="W12" s="73">
        <f>IF(Tableau_Devis[[#This Row],[Destination des aides]]="Fonctionnement",ROUND(Tableau_Devis[[#This Row],[Dépenses de sous-traitance H.T.]],0),0)</f>
        <v>2500</v>
      </c>
      <c r="X12" s="73">
        <f>IF(Tableau_Devis[[#This Row],[Destination des aides]]="Fonctionnement",ROUND(Tableau_Devis[[#This Row],[Contribution aux amortissements]],0),0)</f>
        <v>2500</v>
      </c>
      <c r="Y12" s="73">
        <f>IF(Tableau_Devis[[#This Row],[Destination des aides]]="Fonctionnement",ROUND(Tableau_Devis[[#This Row],[Autres_dépenses]],0),0)</f>
        <v>2500</v>
      </c>
      <c r="Z12" s="73">
        <f ca="1">SUM(Tableau_Devis[[#This Row],[Salaires]:[Autres dépenses]])</f>
        <v>88500</v>
      </c>
      <c r="AA12" s="73">
        <f>IF(Tableau_Devis[[#This Row],[Destination des aides]]="Investissement",ROUND(Tableau_Devis[[#This Row],[Investissements]],0),0)</f>
        <v>0</v>
      </c>
      <c r="AB12" s="73">
        <f ca="1">Tableau_Devis[[#This Row],[Coûts de fonctionnement]]+Tableau_Devis[[#This Row],[Coûts d''investissement]]</f>
        <v>88500</v>
      </c>
      <c r="AC12" s="19"/>
    </row>
    <row r="13" spans="1:29" ht="20.100000000000001" customHeight="1" x14ac:dyDescent="0.2">
      <c r="A13" s="66" t="s">
        <v>39</v>
      </c>
      <c r="B13" s="67"/>
      <c r="C13" s="68">
        <v>1</v>
      </c>
      <c r="D13" s="69" t="s">
        <v>87</v>
      </c>
      <c r="E13" s="77" t="s">
        <v>71</v>
      </c>
      <c r="F13" s="68">
        <v>1</v>
      </c>
      <c r="G13" s="68">
        <v>12</v>
      </c>
      <c r="H13" s="68" t="s">
        <v>41</v>
      </c>
      <c r="I13" s="70">
        <v>6</v>
      </c>
      <c r="J13" s="70">
        <v>3</v>
      </c>
      <c r="K13" s="70"/>
      <c r="L13" s="70">
        <v>2500</v>
      </c>
      <c r="M13" s="70">
        <v>2500</v>
      </c>
      <c r="N13" s="70">
        <v>2500</v>
      </c>
      <c r="O13" s="65"/>
      <c r="P13" s="91" t="str">
        <f>IF(AND(SUM(Tableau_Devis[[#This Row],[Personne.mois cat 1]:[Autres_dépenses]])&lt;&gt;0,Tableau_Devis[[#This Row],[Investissements]]=0),"Fonctionnement",IF(AND(SUM(Tableau_Devis[[#This Row],[Personne.mois cat 1]:[Autres_dépenses]])=0,Tableau_Devis[[#This Row],[Investissements]]&lt;&gt;0),"Investissement","#ERR"))</f>
        <v>Fonctionnement</v>
      </c>
      <c r="Q13" s="76" t="str">
        <f>VLOOKUP(Tableau_Devis[[#This Row],[Partenaire]],Tableau_Partenaires[],7,FALSE)</f>
        <v>Complets</v>
      </c>
      <c r="R13" s="76">
        <f>Tableau_Devis[[#This Row],[Mois de fin]]-Tableau_Devis[[#This Row],[Mois de début]]+1</f>
        <v>12</v>
      </c>
      <c r="S13" s="72" t="str">
        <f>INDEX(Tableau_Calendrier[Etapes clés],MATCH(Tableau_Devis[[#This Row],[Mois de fin]]-1,Tableau_Calendrier[Délais en mois])+1)</f>
        <v>EC01</v>
      </c>
      <c r="T13" s="72">
        <f>IF(Tableau_Devis[[#This Row],[Destination des aides]]="Fonctionnement",SUM(Tableau_Devis[[#This Row],[Personne.mois cat 1]:[Personne.mois cat 3]]),0)</f>
        <v>9</v>
      </c>
      <c r="U13" s="73">
        <f ca="1">IF(Tableau_Devis[[#This Row],[Destination des aides]]="Fonctionnement",ROUND(SUMPRODUCT(OFFSET(Tableau_Partenaires[[#Headers],[Nom court]],MATCH(Tableau_Devis[[#This Row],[Partenaire]],Tableau_Partenaires[Nom court],0),MATCH("Salaire Cat. 1",Tableau_Partenaires[#Headers],0)-1,1,3),Tableau_Devis[[#This Row],[Personne.mois cat 1]:[Personne.mois cat 3]]),0),0)</f>
        <v>52500</v>
      </c>
      <c r="V13" s="73">
        <f ca="1">IF(Tableau_Devis[[#This Row],[Destination des aides]]="Fonctionnement", ROUND(20%*Tableau_Devis[[#This Row],[Salaires]],0),0)</f>
        <v>10500</v>
      </c>
      <c r="W13" s="73">
        <f>IF(Tableau_Devis[[#This Row],[Destination des aides]]="Fonctionnement",ROUND(Tableau_Devis[[#This Row],[Dépenses de sous-traitance H.T.]],0),0)</f>
        <v>2500</v>
      </c>
      <c r="X13" s="73">
        <f>IF(Tableau_Devis[[#This Row],[Destination des aides]]="Fonctionnement",ROUND(Tableau_Devis[[#This Row],[Contribution aux amortissements]],0),0)</f>
        <v>2500</v>
      </c>
      <c r="Y13" s="73">
        <f>IF(Tableau_Devis[[#This Row],[Destination des aides]]="Fonctionnement",ROUND(Tableau_Devis[[#This Row],[Autres_dépenses]],0),0)</f>
        <v>2500</v>
      </c>
      <c r="Z13" s="73">
        <f ca="1">SUM(Tableau_Devis[[#This Row],[Salaires]:[Autres dépenses]])</f>
        <v>70500</v>
      </c>
      <c r="AA13" s="73">
        <f>IF(Tableau_Devis[[#This Row],[Destination des aides]]="Investissement",ROUND(Tableau_Devis[[#This Row],[Investissements]],0),0)</f>
        <v>0</v>
      </c>
      <c r="AB13" s="73">
        <f ca="1">Tableau_Devis[[#This Row],[Coûts de fonctionnement]]+Tableau_Devis[[#This Row],[Coûts d''investissement]]</f>
        <v>70500</v>
      </c>
      <c r="AC13" s="19"/>
    </row>
    <row r="14" spans="1:29" ht="20.100000000000001" customHeight="1" x14ac:dyDescent="0.2">
      <c r="A14" s="66" t="s">
        <v>39</v>
      </c>
      <c r="B14" s="67"/>
      <c r="C14" s="68">
        <v>1</v>
      </c>
      <c r="D14" s="69" t="s">
        <v>87</v>
      </c>
      <c r="E14" s="77" t="s">
        <v>73</v>
      </c>
      <c r="F14" s="68">
        <v>1</v>
      </c>
      <c r="G14" s="68">
        <v>12</v>
      </c>
      <c r="H14" s="68" t="s">
        <v>88</v>
      </c>
      <c r="I14" s="70">
        <v>6</v>
      </c>
      <c r="J14" s="70">
        <v>3</v>
      </c>
      <c r="K14" s="70"/>
      <c r="L14" s="70">
        <v>2500</v>
      </c>
      <c r="M14" s="70">
        <v>2500</v>
      </c>
      <c r="N14" s="70">
        <v>2500</v>
      </c>
      <c r="O14" s="65"/>
      <c r="P14" s="91" t="str">
        <f>IF(AND(SUM(Tableau_Devis[[#This Row],[Personne.mois cat 1]:[Autres_dépenses]])&lt;&gt;0,Tableau_Devis[[#This Row],[Investissements]]=0),"Fonctionnement",IF(AND(SUM(Tableau_Devis[[#This Row],[Personne.mois cat 1]:[Autres_dépenses]])=0,Tableau_Devis[[#This Row],[Investissements]]&lt;&gt;0),"Investissement","#ERR"))</f>
        <v>Fonctionnement</v>
      </c>
      <c r="Q14" s="76" t="str">
        <f>VLOOKUP(Tableau_Devis[[#This Row],[Partenaire]],Tableau_Partenaires[],7,FALSE)</f>
        <v>Marginaux</v>
      </c>
      <c r="R14" s="76">
        <f>Tableau_Devis[[#This Row],[Mois de fin]]-Tableau_Devis[[#This Row],[Mois de début]]+1</f>
        <v>12</v>
      </c>
      <c r="S14" s="72" t="str">
        <f>INDEX(Tableau_Calendrier[Etapes clés],MATCH(Tableau_Devis[[#This Row],[Mois de fin]]-1,Tableau_Calendrier[Délais en mois])+1)</f>
        <v>EC01</v>
      </c>
      <c r="T14" s="72">
        <f>IF(Tableau_Devis[[#This Row],[Destination des aides]]="Fonctionnement",SUM(Tableau_Devis[[#This Row],[Personne.mois cat 1]:[Personne.mois cat 3]]),0)</f>
        <v>9</v>
      </c>
      <c r="U14" s="73">
        <f ca="1">IF(Tableau_Devis[[#This Row],[Destination des aides]]="Fonctionnement",ROUND(SUMPRODUCT(OFFSET(Tableau_Partenaires[[#Headers],[Nom court]],MATCH(Tableau_Devis[[#This Row],[Partenaire]],Tableau_Partenaires[Nom court],0),MATCH("Salaire Cat. 1",Tableau_Partenaires[#Headers],0)-1,1,3),Tableau_Devis[[#This Row],[Personne.mois cat 1]:[Personne.mois cat 3]]),0),0)</f>
        <v>52500</v>
      </c>
      <c r="V14" s="73">
        <f ca="1">IF(Tableau_Devis[[#This Row],[Destination des aides]]="Fonctionnement", ROUND(20%*Tableau_Devis[[#This Row],[Salaires]],0),0)</f>
        <v>10500</v>
      </c>
      <c r="W14" s="73">
        <f>IF(Tableau_Devis[[#This Row],[Destination des aides]]="Fonctionnement",ROUND(Tableau_Devis[[#This Row],[Dépenses de sous-traitance H.T.]],0),0)</f>
        <v>2500</v>
      </c>
      <c r="X14" s="73">
        <f>IF(Tableau_Devis[[#This Row],[Destination des aides]]="Fonctionnement",ROUND(Tableau_Devis[[#This Row],[Contribution aux amortissements]],0),0)</f>
        <v>2500</v>
      </c>
      <c r="Y14" s="73">
        <f>IF(Tableau_Devis[[#This Row],[Destination des aides]]="Fonctionnement",ROUND(Tableau_Devis[[#This Row],[Autres_dépenses]],0),0)</f>
        <v>2500</v>
      </c>
      <c r="Z14" s="73">
        <f ca="1">SUM(Tableau_Devis[[#This Row],[Salaires]:[Autres dépenses]])</f>
        <v>70500</v>
      </c>
      <c r="AA14" s="73">
        <f>IF(Tableau_Devis[[#This Row],[Destination des aides]]="Investissement",ROUND(Tableau_Devis[[#This Row],[Investissements]],0),0)</f>
        <v>0</v>
      </c>
      <c r="AB14" s="73">
        <f ca="1">Tableau_Devis[[#This Row],[Coûts de fonctionnement]]+Tableau_Devis[[#This Row],[Coûts d''investissement]]</f>
        <v>70500</v>
      </c>
      <c r="AC14" s="19"/>
    </row>
    <row r="15" spans="1:29" ht="20.100000000000001" customHeight="1" x14ac:dyDescent="0.2">
      <c r="A15" s="66" t="s">
        <v>39</v>
      </c>
      <c r="B15" s="67"/>
      <c r="C15" s="68">
        <v>2</v>
      </c>
      <c r="D15" s="69" t="s">
        <v>110</v>
      </c>
      <c r="E15" s="77" t="s">
        <v>33</v>
      </c>
      <c r="F15" s="68">
        <v>13</v>
      </c>
      <c r="G15" s="68">
        <v>24</v>
      </c>
      <c r="H15" s="68" t="s">
        <v>41</v>
      </c>
      <c r="I15" s="70">
        <v>24</v>
      </c>
      <c r="J15" s="70">
        <v>12</v>
      </c>
      <c r="K15" s="70">
        <v>6</v>
      </c>
      <c r="L15" s="70">
        <v>100000</v>
      </c>
      <c r="M15" s="70">
        <v>50000</v>
      </c>
      <c r="N15" s="70">
        <v>20000</v>
      </c>
      <c r="O15" s="65"/>
      <c r="P15" s="91" t="str">
        <f>IF(AND(SUM(Tableau_Devis[[#This Row],[Personne.mois cat 1]:[Autres_dépenses]])&lt;&gt;0,Tableau_Devis[[#This Row],[Investissements]]=0),"Fonctionnement",IF(AND(SUM(Tableau_Devis[[#This Row],[Personne.mois cat 1]:[Autres_dépenses]])=0,Tableau_Devis[[#This Row],[Investissements]]&lt;&gt;0),"Investissement","#ERR"))</f>
        <v>Fonctionnement</v>
      </c>
      <c r="Q15" s="64" t="str">
        <f>VLOOKUP(Tableau_Devis[[#This Row],[Partenaire]],Tableau_Partenaires[],7,FALSE)</f>
        <v>Complets</v>
      </c>
      <c r="R15" s="64">
        <f>Tableau_Devis[[#This Row],[Mois de fin]]-Tableau_Devis[[#This Row],[Mois de début]]+1</f>
        <v>12</v>
      </c>
      <c r="S15" s="43" t="str">
        <f>INDEX(Tableau_Calendrier[Etapes clés],MATCH(Tableau_Devis[[#This Row],[Mois de fin]]-1,Tableau_Calendrier[Délais en mois])+1)</f>
        <v>EC02</v>
      </c>
      <c r="T15" s="43">
        <f>IF(Tableau_Devis[[#This Row],[Destination des aides]]="Fonctionnement",SUM(Tableau_Devis[[#This Row],[Personne.mois cat 1]:[Personne.mois cat 3]]),0)</f>
        <v>42</v>
      </c>
      <c r="U15" s="73">
        <f ca="1">IF(Tableau_Devis[[#This Row],[Destination des aides]]="Fonctionnement",ROUND(SUMPRODUCT(OFFSET(Tableau_Partenaires[[#Headers],[Nom court]],MATCH(Tableau_Devis[[#This Row],[Partenaire]],Tableau_Partenaires[Nom court],0),MATCH("Salaire Cat. 1",Tableau_Partenaires[#Headers],0)-1,1,3),Tableau_Devis[[#This Row],[Personne.mois cat 1]:[Personne.mois cat 3]]),0),0)</f>
        <v>288000</v>
      </c>
      <c r="V15" s="73">
        <f ca="1">IF(Tableau_Devis[[#This Row],[Destination des aides]]="Fonctionnement", ROUND(20%*Tableau_Devis[[#This Row],[Salaires]],0),0)</f>
        <v>57600</v>
      </c>
      <c r="W15" s="73">
        <f>IF(Tableau_Devis[[#This Row],[Destination des aides]]="Fonctionnement",ROUND(Tableau_Devis[[#This Row],[Dépenses de sous-traitance H.T.]],0),0)</f>
        <v>100000</v>
      </c>
      <c r="X15" s="73">
        <f>IF(Tableau_Devis[[#This Row],[Destination des aides]]="Fonctionnement",ROUND(Tableau_Devis[[#This Row],[Contribution aux amortissements]],0),0)</f>
        <v>50000</v>
      </c>
      <c r="Y15" s="73">
        <f>IF(Tableau_Devis[[#This Row],[Destination des aides]]="Fonctionnement",ROUND(Tableau_Devis[[#This Row],[Autres_dépenses]],0),0)</f>
        <v>20000</v>
      </c>
      <c r="Z15" s="73">
        <f ca="1">SUM(Tableau_Devis[[#This Row],[Salaires]:[Autres dépenses]])</f>
        <v>515600</v>
      </c>
      <c r="AA15" s="73">
        <f>IF(Tableau_Devis[[#This Row],[Destination des aides]]="Investissement",ROUND(Tableau_Devis[[#This Row],[Investissements]],0),0)</f>
        <v>0</v>
      </c>
      <c r="AB15" s="73">
        <f ca="1">Tableau_Devis[[#This Row],[Coûts de fonctionnement]]+Tableau_Devis[[#This Row],[Coûts d''investissement]]</f>
        <v>515600</v>
      </c>
      <c r="AC15" s="19"/>
    </row>
    <row r="16" spans="1:29" ht="20.100000000000001" customHeight="1" x14ac:dyDescent="0.2">
      <c r="A16" s="66" t="s">
        <v>39</v>
      </c>
      <c r="B16" s="67"/>
      <c r="C16" s="68">
        <v>2</v>
      </c>
      <c r="D16" s="69" t="s">
        <v>110</v>
      </c>
      <c r="E16" s="77" t="s">
        <v>35</v>
      </c>
      <c r="F16" s="68">
        <v>13</v>
      </c>
      <c r="G16" s="68">
        <v>24</v>
      </c>
      <c r="H16" s="68" t="s">
        <v>41</v>
      </c>
      <c r="I16" s="70">
        <v>12</v>
      </c>
      <c r="J16" s="70">
        <v>6</v>
      </c>
      <c r="K16" s="70"/>
      <c r="L16" s="70">
        <v>30000</v>
      </c>
      <c r="M16" s="70">
        <v>10000</v>
      </c>
      <c r="N16" s="70">
        <v>10000</v>
      </c>
      <c r="O16" s="65"/>
      <c r="P16" s="91" t="str">
        <f>IF(AND(SUM(Tableau_Devis[[#This Row],[Personne.mois cat 1]:[Autres_dépenses]])&lt;&gt;0,Tableau_Devis[[#This Row],[Investissements]]=0),"Fonctionnement",IF(AND(SUM(Tableau_Devis[[#This Row],[Personne.mois cat 1]:[Autres_dépenses]])=0,Tableau_Devis[[#This Row],[Investissements]]&lt;&gt;0),"Investissement","#ERR"))</f>
        <v>Fonctionnement</v>
      </c>
      <c r="Q16" s="64" t="str">
        <f>VLOOKUP(Tableau_Devis[[#This Row],[Partenaire]],Tableau_Partenaires[],7,FALSE)</f>
        <v>Complets</v>
      </c>
      <c r="R16" s="64">
        <f>Tableau_Devis[[#This Row],[Mois de fin]]-Tableau_Devis[[#This Row],[Mois de début]]+1</f>
        <v>12</v>
      </c>
      <c r="S16" s="43" t="str">
        <f>INDEX(Tableau_Calendrier[Etapes clés],MATCH(Tableau_Devis[[#This Row],[Mois de fin]]-1,Tableau_Calendrier[Délais en mois])+1)</f>
        <v>EC02</v>
      </c>
      <c r="T16" s="43">
        <f>IF(Tableau_Devis[[#This Row],[Destination des aides]]="Fonctionnement",SUM(Tableau_Devis[[#This Row],[Personne.mois cat 1]:[Personne.mois cat 3]]),0)</f>
        <v>18</v>
      </c>
      <c r="U16" s="73">
        <f ca="1">IF(Tableau_Devis[[#This Row],[Destination des aides]]="Fonctionnement",ROUND(SUMPRODUCT(OFFSET(Tableau_Partenaires[[#Headers],[Nom court]],MATCH(Tableau_Devis[[#This Row],[Partenaire]],Tableau_Partenaires[Nom court],0),MATCH("Salaire Cat. 1",Tableau_Partenaires[#Headers],0)-1,1,3),Tableau_Devis[[#This Row],[Personne.mois cat 1]:[Personne.mois cat 3]]),0),0)</f>
        <v>120000</v>
      </c>
      <c r="V16" s="73">
        <f ca="1">IF(Tableau_Devis[[#This Row],[Destination des aides]]="Fonctionnement", ROUND(20%*Tableau_Devis[[#This Row],[Salaires]],0),0)</f>
        <v>24000</v>
      </c>
      <c r="W16" s="73">
        <f>IF(Tableau_Devis[[#This Row],[Destination des aides]]="Fonctionnement",ROUND(Tableau_Devis[[#This Row],[Dépenses de sous-traitance H.T.]],0),0)</f>
        <v>30000</v>
      </c>
      <c r="X16" s="73">
        <f>IF(Tableau_Devis[[#This Row],[Destination des aides]]="Fonctionnement",ROUND(Tableau_Devis[[#This Row],[Contribution aux amortissements]],0),0)</f>
        <v>10000</v>
      </c>
      <c r="Y16" s="73">
        <f>IF(Tableau_Devis[[#This Row],[Destination des aides]]="Fonctionnement",ROUND(Tableau_Devis[[#This Row],[Autres_dépenses]],0),0)</f>
        <v>10000</v>
      </c>
      <c r="Z16" s="73">
        <f ca="1">SUM(Tableau_Devis[[#This Row],[Salaires]:[Autres dépenses]])</f>
        <v>194000</v>
      </c>
      <c r="AA16" s="73">
        <f>IF(Tableau_Devis[[#This Row],[Destination des aides]]="Investissement",ROUND(Tableau_Devis[[#This Row],[Investissements]],0),0)</f>
        <v>0</v>
      </c>
      <c r="AB16" s="73">
        <f ca="1">Tableau_Devis[[#This Row],[Coûts de fonctionnement]]+Tableau_Devis[[#This Row],[Coûts d''investissement]]</f>
        <v>194000</v>
      </c>
      <c r="AC16" s="19"/>
    </row>
    <row r="17" spans="1:29" ht="20.100000000000001" customHeight="1" x14ac:dyDescent="0.2">
      <c r="A17" s="66" t="s">
        <v>39</v>
      </c>
      <c r="B17" s="67"/>
      <c r="C17" s="68">
        <v>2</v>
      </c>
      <c r="D17" s="69" t="s">
        <v>110</v>
      </c>
      <c r="E17" s="77" t="s">
        <v>36</v>
      </c>
      <c r="F17" s="68">
        <v>13</v>
      </c>
      <c r="G17" s="68">
        <v>24</v>
      </c>
      <c r="H17" s="68" t="s">
        <v>41</v>
      </c>
      <c r="I17" s="70">
        <v>12</v>
      </c>
      <c r="J17" s="70">
        <v>6</v>
      </c>
      <c r="K17" s="70"/>
      <c r="L17" s="70">
        <v>5000</v>
      </c>
      <c r="M17" s="70">
        <v>5000</v>
      </c>
      <c r="N17" s="70">
        <v>5000</v>
      </c>
      <c r="O17" s="65"/>
      <c r="P17" s="91" t="str">
        <f>IF(AND(SUM(Tableau_Devis[[#This Row],[Personne.mois cat 1]:[Autres_dépenses]])&lt;&gt;0,Tableau_Devis[[#This Row],[Investissements]]=0),"Fonctionnement",IF(AND(SUM(Tableau_Devis[[#This Row],[Personne.mois cat 1]:[Autres_dépenses]])=0,Tableau_Devis[[#This Row],[Investissements]]&lt;&gt;0),"Investissement","#ERR"))</f>
        <v>Fonctionnement</v>
      </c>
      <c r="Q17" s="64" t="str">
        <f>VLOOKUP(Tableau_Devis[[#This Row],[Partenaire]],Tableau_Partenaires[],7,FALSE)</f>
        <v>Complets</v>
      </c>
      <c r="R17" s="64">
        <f>Tableau_Devis[[#This Row],[Mois de fin]]-Tableau_Devis[[#This Row],[Mois de début]]+1</f>
        <v>12</v>
      </c>
      <c r="S17" s="43" t="str">
        <f>INDEX(Tableau_Calendrier[Etapes clés],MATCH(Tableau_Devis[[#This Row],[Mois de fin]]-1,Tableau_Calendrier[Délais en mois])+1)</f>
        <v>EC02</v>
      </c>
      <c r="T17" s="43">
        <f>IF(Tableau_Devis[[#This Row],[Destination des aides]]="Fonctionnement",SUM(Tableau_Devis[[#This Row],[Personne.mois cat 1]:[Personne.mois cat 3]]),0)</f>
        <v>18</v>
      </c>
      <c r="U17" s="73">
        <f ca="1">IF(Tableau_Devis[[#This Row],[Destination des aides]]="Fonctionnement",ROUND(SUMPRODUCT(OFFSET(Tableau_Partenaires[[#Headers],[Nom court]],MATCH(Tableau_Devis[[#This Row],[Partenaire]],Tableau_Partenaires[Nom court],0),MATCH("Salaire Cat. 1",Tableau_Partenaires[#Headers],0)-1,1,3),Tableau_Devis[[#This Row],[Personne.mois cat 1]:[Personne.mois cat 3]]),0),0)</f>
        <v>135000</v>
      </c>
      <c r="V17" s="73">
        <f ca="1">IF(Tableau_Devis[[#This Row],[Destination des aides]]="Fonctionnement", ROUND(20%*Tableau_Devis[[#This Row],[Salaires]],0),0)</f>
        <v>27000</v>
      </c>
      <c r="W17" s="73">
        <f>IF(Tableau_Devis[[#This Row],[Destination des aides]]="Fonctionnement",ROUND(Tableau_Devis[[#This Row],[Dépenses de sous-traitance H.T.]],0),0)</f>
        <v>5000</v>
      </c>
      <c r="X17" s="73">
        <f>IF(Tableau_Devis[[#This Row],[Destination des aides]]="Fonctionnement",ROUND(Tableau_Devis[[#This Row],[Contribution aux amortissements]],0),0)</f>
        <v>5000</v>
      </c>
      <c r="Y17" s="73">
        <f>IF(Tableau_Devis[[#This Row],[Destination des aides]]="Fonctionnement",ROUND(Tableau_Devis[[#This Row],[Autres_dépenses]],0),0)</f>
        <v>5000</v>
      </c>
      <c r="Z17" s="73">
        <f ca="1">SUM(Tableau_Devis[[#This Row],[Salaires]:[Autres dépenses]])</f>
        <v>177000</v>
      </c>
      <c r="AA17" s="73">
        <f>IF(Tableau_Devis[[#This Row],[Destination des aides]]="Investissement",ROUND(Tableau_Devis[[#This Row],[Investissements]],0),0)</f>
        <v>0</v>
      </c>
      <c r="AB17" s="73">
        <f ca="1">Tableau_Devis[[#This Row],[Coûts de fonctionnement]]+Tableau_Devis[[#This Row],[Coûts d''investissement]]</f>
        <v>177000</v>
      </c>
      <c r="AC17" s="19"/>
    </row>
    <row r="18" spans="1:29" ht="20.100000000000001" customHeight="1" x14ac:dyDescent="0.2">
      <c r="A18" s="66" t="s">
        <v>39</v>
      </c>
      <c r="B18" s="67"/>
      <c r="C18" s="68">
        <v>2</v>
      </c>
      <c r="D18" s="69" t="s">
        <v>110</v>
      </c>
      <c r="E18" s="77" t="s">
        <v>71</v>
      </c>
      <c r="F18" s="68">
        <v>13</v>
      </c>
      <c r="G18" s="68">
        <v>24</v>
      </c>
      <c r="H18" s="68" t="s">
        <v>41</v>
      </c>
      <c r="I18" s="70">
        <v>12</v>
      </c>
      <c r="J18" s="70"/>
      <c r="K18" s="70"/>
      <c r="L18" s="70"/>
      <c r="M18" s="70"/>
      <c r="N18" s="70">
        <v>1000</v>
      </c>
      <c r="O18" s="65"/>
      <c r="P18" s="91" t="str">
        <f>IF(AND(SUM(Tableau_Devis[[#This Row],[Personne.mois cat 1]:[Autres_dépenses]])&lt;&gt;0,Tableau_Devis[[#This Row],[Investissements]]=0),"Fonctionnement",IF(AND(SUM(Tableau_Devis[[#This Row],[Personne.mois cat 1]:[Autres_dépenses]])=0,Tableau_Devis[[#This Row],[Investissements]]&lt;&gt;0),"Investissement","#ERR"))</f>
        <v>Fonctionnement</v>
      </c>
      <c r="Q18" s="64" t="str">
        <f>VLOOKUP(Tableau_Devis[[#This Row],[Partenaire]],Tableau_Partenaires[],7,FALSE)</f>
        <v>Complets</v>
      </c>
      <c r="R18" s="64">
        <f>Tableau_Devis[[#This Row],[Mois de fin]]-Tableau_Devis[[#This Row],[Mois de début]]+1</f>
        <v>12</v>
      </c>
      <c r="S18" s="43" t="str">
        <f>INDEX(Tableau_Calendrier[Etapes clés],MATCH(Tableau_Devis[[#This Row],[Mois de fin]]-1,Tableau_Calendrier[Délais en mois])+1)</f>
        <v>EC02</v>
      </c>
      <c r="T18" s="43">
        <f>IF(Tableau_Devis[[#This Row],[Destination des aides]]="Fonctionnement",SUM(Tableau_Devis[[#This Row],[Personne.mois cat 1]:[Personne.mois cat 3]]),0)</f>
        <v>12</v>
      </c>
      <c r="U18" s="73">
        <f ca="1">IF(Tableau_Devis[[#This Row],[Destination des aides]]="Fonctionnement",ROUND(SUMPRODUCT(OFFSET(Tableau_Partenaires[[#Headers],[Nom court]],MATCH(Tableau_Devis[[#This Row],[Partenaire]],Tableau_Partenaires[Nom court],0),MATCH("Salaire Cat. 1",Tableau_Partenaires[#Headers],0)-1,1,3),Tableau_Devis[[#This Row],[Personne.mois cat 1]:[Personne.mois cat 3]]),0),0)</f>
        <v>72000</v>
      </c>
      <c r="V18" s="73">
        <f ca="1">IF(Tableau_Devis[[#This Row],[Destination des aides]]="Fonctionnement", ROUND(20%*Tableau_Devis[[#This Row],[Salaires]],0),0)</f>
        <v>14400</v>
      </c>
      <c r="W18" s="73">
        <f>IF(Tableau_Devis[[#This Row],[Destination des aides]]="Fonctionnement",ROUND(Tableau_Devis[[#This Row],[Dépenses de sous-traitance H.T.]],0),0)</f>
        <v>0</v>
      </c>
      <c r="X18" s="73">
        <f>IF(Tableau_Devis[[#This Row],[Destination des aides]]="Fonctionnement",ROUND(Tableau_Devis[[#This Row],[Contribution aux amortissements]],0),0)</f>
        <v>0</v>
      </c>
      <c r="Y18" s="73">
        <f>IF(Tableau_Devis[[#This Row],[Destination des aides]]="Fonctionnement",ROUND(Tableau_Devis[[#This Row],[Autres_dépenses]],0),0)</f>
        <v>1000</v>
      </c>
      <c r="Z18" s="73">
        <f ca="1">SUM(Tableau_Devis[[#This Row],[Salaires]:[Autres dépenses]])</f>
        <v>87400</v>
      </c>
      <c r="AA18" s="73">
        <f>IF(Tableau_Devis[[#This Row],[Destination des aides]]="Investissement",ROUND(Tableau_Devis[[#This Row],[Investissements]],0),0)</f>
        <v>0</v>
      </c>
      <c r="AB18" s="73">
        <f ca="1">Tableau_Devis[[#This Row],[Coûts de fonctionnement]]+Tableau_Devis[[#This Row],[Coûts d''investissement]]</f>
        <v>87400</v>
      </c>
      <c r="AC18" s="19"/>
    </row>
    <row r="19" spans="1:29" ht="20.100000000000001" customHeight="1" x14ac:dyDescent="0.2">
      <c r="A19" s="66" t="s">
        <v>39</v>
      </c>
      <c r="B19" s="67"/>
      <c r="C19" s="68">
        <v>2</v>
      </c>
      <c r="D19" s="69" t="s">
        <v>110</v>
      </c>
      <c r="E19" s="78" t="s">
        <v>73</v>
      </c>
      <c r="F19" s="68">
        <v>13</v>
      </c>
      <c r="G19" s="68">
        <v>24</v>
      </c>
      <c r="H19" s="74" t="s">
        <v>41</v>
      </c>
      <c r="I19" s="79">
        <v>12</v>
      </c>
      <c r="J19" s="70"/>
      <c r="K19" s="70"/>
      <c r="L19" s="70"/>
      <c r="M19" s="70"/>
      <c r="N19" s="75">
        <v>1000</v>
      </c>
      <c r="O19" s="65"/>
      <c r="P19" s="91" t="str">
        <f>IF(AND(SUM(Tableau_Devis[[#This Row],[Personne.mois cat 1]:[Autres_dépenses]])&lt;&gt;0,Tableau_Devis[[#This Row],[Investissements]]=0),"Fonctionnement",IF(AND(SUM(Tableau_Devis[[#This Row],[Personne.mois cat 1]:[Autres_dépenses]])=0,Tableau_Devis[[#This Row],[Investissements]]&lt;&gt;0),"Investissement","#ERR"))</f>
        <v>Fonctionnement</v>
      </c>
      <c r="Q19" s="76" t="str">
        <f>VLOOKUP(Tableau_Devis[[#This Row],[Partenaire]],Tableau_Partenaires[],7,FALSE)</f>
        <v>Marginaux</v>
      </c>
      <c r="R19" s="76">
        <f>Tableau_Devis[[#This Row],[Mois de fin]]-Tableau_Devis[[#This Row],[Mois de début]]+1</f>
        <v>12</v>
      </c>
      <c r="S19" s="72" t="str">
        <f>INDEX(Tableau_Calendrier[Etapes clés],MATCH(Tableau_Devis[[#This Row],[Mois de fin]]-1,Tableau_Calendrier[Délais en mois])+1)</f>
        <v>EC02</v>
      </c>
      <c r="T19" s="72">
        <f>IF(Tableau_Devis[[#This Row],[Destination des aides]]="Fonctionnement",SUM(Tableau_Devis[[#This Row],[Personne.mois cat 1]:[Personne.mois cat 3]]),0)</f>
        <v>12</v>
      </c>
      <c r="U19" s="73">
        <f ca="1">IF(Tableau_Devis[[#This Row],[Destination des aides]]="Fonctionnement",ROUND(SUMPRODUCT(OFFSET(Tableau_Partenaires[[#Headers],[Nom court]],MATCH(Tableau_Devis[[#This Row],[Partenaire]],Tableau_Partenaires[Nom court],0),MATCH("Salaire Cat. 1",Tableau_Partenaires[#Headers],0)-1,1,3),Tableau_Devis[[#This Row],[Personne.mois cat 1]:[Personne.mois cat 3]]),0),0)</f>
        <v>72000</v>
      </c>
      <c r="V19" s="73">
        <f ca="1">IF(Tableau_Devis[[#This Row],[Destination des aides]]="Fonctionnement", ROUND(20%*Tableau_Devis[[#This Row],[Salaires]],0),0)</f>
        <v>14400</v>
      </c>
      <c r="W19" s="73">
        <f>IF(Tableau_Devis[[#This Row],[Destination des aides]]="Fonctionnement",ROUND(Tableau_Devis[[#This Row],[Dépenses de sous-traitance H.T.]],0),0)</f>
        <v>0</v>
      </c>
      <c r="X19" s="73">
        <f>IF(Tableau_Devis[[#This Row],[Destination des aides]]="Fonctionnement",ROUND(Tableau_Devis[[#This Row],[Contribution aux amortissements]],0),0)</f>
        <v>0</v>
      </c>
      <c r="Y19" s="73">
        <f>IF(Tableau_Devis[[#This Row],[Destination des aides]]="Fonctionnement",ROUND(Tableau_Devis[[#This Row],[Autres_dépenses]],0),0)</f>
        <v>1000</v>
      </c>
      <c r="Z19" s="73">
        <f ca="1">SUM(Tableau_Devis[[#This Row],[Salaires]:[Autres dépenses]])</f>
        <v>87400</v>
      </c>
      <c r="AA19" s="73">
        <f>IF(Tableau_Devis[[#This Row],[Destination des aides]]="Investissement",ROUND(Tableau_Devis[[#This Row],[Investissements]],0),0)</f>
        <v>0</v>
      </c>
      <c r="AB19" s="73">
        <f ca="1">Tableau_Devis[[#This Row],[Coûts de fonctionnement]]+Tableau_Devis[[#This Row],[Coûts d''investissement]]</f>
        <v>87400</v>
      </c>
      <c r="AC19" s="19"/>
    </row>
    <row r="20" spans="1:29" ht="20.100000000000001" customHeight="1" x14ac:dyDescent="0.2">
      <c r="A20" s="66" t="s">
        <v>42</v>
      </c>
      <c r="B20" s="67"/>
      <c r="C20" s="68">
        <v>3</v>
      </c>
      <c r="D20" s="69" t="s">
        <v>43</v>
      </c>
      <c r="E20" s="77" t="s">
        <v>33</v>
      </c>
      <c r="F20" s="68">
        <v>25</v>
      </c>
      <c r="G20" s="68">
        <v>36</v>
      </c>
      <c r="H20" s="68" t="s">
        <v>44</v>
      </c>
      <c r="I20" s="70">
        <v>48</v>
      </c>
      <c r="J20" s="70">
        <v>24</v>
      </c>
      <c r="K20" s="70">
        <v>12</v>
      </c>
      <c r="L20" s="70">
        <v>200000</v>
      </c>
      <c r="M20" s="70">
        <v>100000</v>
      </c>
      <c r="N20" s="70">
        <v>40000</v>
      </c>
      <c r="O20" s="65"/>
      <c r="P20" s="91" t="str">
        <f>IF(AND(SUM(Tableau_Devis[[#This Row],[Personne.mois cat 1]:[Autres_dépenses]])&lt;&gt;0,Tableau_Devis[[#This Row],[Investissements]]=0),"Fonctionnement",IF(AND(SUM(Tableau_Devis[[#This Row],[Personne.mois cat 1]:[Autres_dépenses]])=0,Tableau_Devis[[#This Row],[Investissements]]&lt;&gt;0),"Investissement","#ERR"))</f>
        <v>Fonctionnement</v>
      </c>
      <c r="Q20" s="64" t="str">
        <f>VLOOKUP(Tableau_Devis[[#This Row],[Partenaire]],Tableau_Partenaires[],7,FALSE)</f>
        <v>Complets</v>
      </c>
      <c r="R20" s="64">
        <f>Tableau_Devis[[#This Row],[Mois de fin]]-Tableau_Devis[[#This Row],[Mois de début]]+1</f>
        <v>12</v>
      </c>
      <c r="S20" s="43" t="str">
        <f>INDEX(Tableau_Calendrier[Etapes clés],MATCH(Tableau_Devis[[#This Row],[Mois de fin]]-1,Tableau_Calendrier[Délais en mois])+1)</f>
        <v>EC03</v>
      </c>
      <c r="T20" s="43">
        <f>IF(Tableau_Devis[[#This Row],[Destination des aides]]="Fonctionnement",SUM(Tableau_Devis[[#This Row],[Personne.mois cat 1]:[Personne.mois cat 3]]),0)</f>
        <v>84</v>
      </c>
      <c r="U20" s="73">
        <f ca="1">IF(Tableau_Devis[[#This Row],[Destination des aides]]="Fonctionnement",ROUND(SUMPRODUCT(OFFSET(Tableau_Partenaires[[#Headers],[Nom court]],MATCH(Tableau_Devis[[#This Row],[Partenaire]],Tableau_Partenaires[Nom court],0),MATCH("Salaire Cat. 1",Tableau_Partenaires[#Headers],0)-1,1,3),Tableau_Devis[[#This Row],[Personne.mois cat 1]:[Personne.mois cat 3]]),0),0)</f>
        <v>576000</v>
      </c>
      <c r="V20" s="73">
        <f ca="1">IF(Tableau_Devis[[#This Row],[Destination des aides]]="Fonctionnement", ROUND(20%*Tableau_Devis[[#This Row],[Salaires]],0),0)</f>
        <v>115200</v>
      </c>
      <c r="W20" s="73">
        <f>IF(Tableau_Devis[[#This Row],[Destination des aides]]="Fonctionnement",ROUND(Tableau_Devis[[#This Row],[Dépenses de sous-traitance H.T.]],0),0)</f>
        <v>200000</v>
      </c>
      <c r="X20" s="73">
        <f>IF(Tableau_Devis[[#This Row],[Destination des aides]]="Fonctionnement",ROUND(Tableau_Devis[[#This Row],[Contribution aux amortissements]],0),0)</f>
        <v>100000</v>
      </c>
      <c r="Y20" s="73">
        <f>IF(Tableau_Devis[[#This Row],[Destination des aides]]="Fonctionnement",ROUND(Tableau_Devis[[#This Row],[Autres_dépenses]],0),0)</f>
        <v>40000</v>
      </c>
      <c r="Z20" s="73">
        <f ca="1">SUM(Tableau_Devis[[#This Row],[Salaires]:[Autres dépenses]])</f>
        <v>1031200</v>
      </c>
      <c r="AA20" s="73">
        <f>IF(Tableau_Devis[[#This Row],[Destination des aides]]="Investissement",ROUND(Tableau_Devis[[#This Row],[Investissements]],0),0)</f>
        <v>0</v>
      </c>
      <c r="AB20" s="73">
        <f ca="1">Tableau_Devis[[#This Row],[Coûts de fonctionnement]]+Tableau_Devis[[#This Row],[Coûts d''investissement]]</f>
        <v>1031200</v>
      </c>
      <c r="AC20" s="19"/>
    </row>
    <row r="21" spans="1:29" ht="20.100000000000001" customHeight="1" x14ac:dyDescent="0.2">
      <c r="A21" s="66" t="s">
        <v>42</v>
      </c>
      <c r="B21" s="67"/>
      <c r="C21" s="68">
        <v>3</v>
      </c>
      <c r="D21" s="69" t="s">
        <v>43</v>
      </c>
      <c r="E21" s="77" t="s">
        <v>35</v>
      </c>
      <c r="F21" s="68">
        <v>25</v>
      </c>
      <c r="G21" s="68">
        <v>36</v>
      </c>
      <c r="H21" s="68" t="s">
        <v>44</v>
      </c>
      <c r="I21" s="70">
        <v>24</v>
      </c>
      <c r="J21" s="70">
        <v>12</v>
      </c>
      <c r="K21" s="70"/>
      <c r="L21" s="70">
        <v>60000</v>
      </c>
      <c r="M21" s="70">
        <v>20000</v>
      </c>
      <c r="N21" s="70">
        <v>20000</v>
      </c>
      <c r="O21" s="65"/>
      <c r="P21" s="91" t="str">
        <f>IF(AND(SUM(Tableau_Devis[[#This Row],[Personne.mois cat 1]:[Autres_dépenses]])&lt;&gt;0,Tableau_Devis[[#This Row],[Investissements]]=0),"Fonctionnement",IF(AND(SUM(Tableau_Devis[[#This Row],[Personne.mois cat 1]:[Autres_dépenses]])=0,Tableau_Devis[[#This Row],[Investissements]]&lt;&gt;0),"Investissement","#ERR"))</f>
        <v>Fonctionnement</v>
      </c>
      <c r="Q21" s="64" t="str">
        <f>VLOOKUP(Tableau_Devis[[#This Row],[Partenaire]],Tableau_Partenaires[],7,FALSE)</f>
        <v>Complets</v>
      </c>
      <c r="R21" s="64">
        <f>Tableau_Devis[[#This Row],[Mois de fin]]-Tableau_Devis[[#This Row],[Mois de début]]+1</f>
        <v>12</v>
      </c>
      <c r="S21" s="43" t="str">
        <f>INDEX(Tableau_Calendrier[Etapes clés],MATCH(Tableau_Devis[[#This Row],[Mois de fin]]-1,Tableau_Calendrier[Délais en mois])+1)</f>
        <v>EC03</v>
      </c>
      <c r="T21" s="43">
        <f>IF(Tableau_Devis[[#This Row],[Destination des aides]]="Fonctionnement",SUM(Tableau_Devis[[#This Row],[Personne.mois cat 1]:[Personne.mois cat 3]]),0)</f>
        <v>36</v>
      </c>
      <c r="U21" s="73">
        <f ca="1">IF(Tableau_Devis[[#This Row],[Destination des aides]]="Fonctionnement",ROUND(SUMPRODUCT(OFFSET(Tableau_Partenaires[[#Headers],[Nom court]],MATCH(Tableau_Devis[[#This Row],[Partenaire]],Tableau_Partenaires[Nom court],0),MATCH("Salaire Cat. 1",Tableau_Partenaires[#Headers],0)-1,1,3),Tableau_Devis[[#This Row],[Personne.mois cat 1]:[Personne.mois cat 3]]),0),0)</f>
        <v>240000</v>
      </c>
      <c r="V21" s="73">
        <f ca="1">IF(Tableau_Devis[[#This Row],[Destination des aides]]="Fonctionnement", ROUND(20%*Tableau_Devis[[#This Row],[Salaires]],0),0)</f>
        <v>48000</v>
      </c>
      <c r="W21" s="73">
        <f>IF(Tableau_Devis[[#This Row],[Destination des aides]]="Fonctionnement",ROUND(Tableau_Devis[[#This Row],[Dépenses de sous-traitance H.T.]],0),0)</f>
        <v>60000</v>
      </c>
      <c r="X21" s="73">
        <f>IF(Tableau_Devis[[#This Row],[Destination des aides]]="Fonctionnement",ROUND(Tableau_Devis[[#This Row],[Contribution aux amortissements]],0),0)</f>
        <v>20000</v>
      </c>
      <c r="Y21" s="73">
        <f>IF(Tableau_Devis[[#This Row],[Destination des aides]]="Fonctionnement",ROUND(Tableau_Devis[[#This Row],[Autres_dépenses]],0),0)</f>
        <v>20000</v>
      </c>
      <c r="Z21" s="73">
        <f ca="1">SUM(Tableau_Devis[[#This Row],[Salaires]:[Autres dépenses]])</f>
        <v>388000</v>
      </c>
      <c r="AA21" s="73">
        <f>IF(Tableau_Devis[[#This Row],[Destination des aides]]="Investissement",ROUND(Tableau_Devis[[#This Row],[Investissements]],0),0)</f>
        <v>0</v>
      </c>
      <c r="AB21" s="73">
        <f ca="1">Tableau_Devis[[#This Row],[Coûts de fonctionnement]]+Tableau_Devis[[#This Row],[Coûts d''investissement]]</f>
        <v>388000</v>
      </c>
      <c r="AC21" s="19"/>
    </row>
    <row r="22" spans="1:29" ht="20.100000000000001" customHeight="1" x14ac:dyDescent="0.2">
      <c r="A22" s="66" t="s">
        <v>42</v>
      </c>
      <c r="B22" s="67"/>
      <c r="C22" s="68">
        <v>3</v>
      </c>
      <c r="D22" s="69" t="s">
        <v>43</v>
      </c>
      <c r="E22" s="77" t="s">
        <v>36</v>
      </c>
      <c r="F22" s="68">
        <v>25</v>
      </c>
      <c r="G22" s="68">
        <v>36</v>
      </c>
      <c r="H22" s="68" t="s">
        <v>44</v>
      </c>
      <c r="I22" s="70">
        <v>24</v>
      </c>
      <c r="J22" s="70">
        <v>12</v>
      </c>
      <c r="K22" s="70"/>
      <c r="L22" s="70">
        <v>10000</v>
      </c>
      <c r="M22" s="70">
        <v>10000</v>
      </c>
      <c r="N22" s="70">
        <v>10000</v>
      </c>
      <c r="O22" s="65"/>
      <c r="P22" s="91" t="str">
        <f>IF(AND(SUM(Tableau_Devis[[#This Row],[Personne.mois cat 1]:[Autres_dépenses]])&lt;&gt;0,Tableau_Devis[[#This Row],[Investissements]]=0),"Fonctionnement",IF(AND(SUM(Tableau_Devis[[#This Row],[Personne.mois cat 1]:[Autres_dépenses]])=0,Tableau_Devis[[#This Row],[Investissements]]&lt;&gt;0),"Investissement","#ERR"))</f>
        <v>Fonctionnement</v>
      </c>
      <c r="Q22" s="64" t="str">
        <f>VLOOKUP(Tableau_Devis[[#This Row],[Partenaire]],Tableau_Partenaires[],7,FALSE)</f>
        <v>Complets</v>
      </c>
      <c r="R22" s="64">
        <f>Tableau_Devis[[#This Row],[Mois de fin]]-Tableau_Devis[[#This Row],[Mois de début]]+1</f>
        <v>12</v>
      </c>
      <c r="S22" s="43" t="str">
        <f>INDEX(Tableau_Calendrier[Etapes clés],MATCH(Tableau_Devis[[#This Row],[Mois de fin]]-1,Tableau_Calendrier[Délais en mois])+1)</f>
        <v>EC03</v>
      </c>
      <c r="T22" s="43">
        <f>IF(Tableau_Devis[[#This Row],[Destination des aides]]="Fonctionnement",SUM(Tableau_Devis[[#This Row],[Personne.mois cat 1]:[Personne.mois cat 3]]),0)</f>
        <v>36</v>
      </c>
      <c r="U22" s="73">
        <f ca="1">IF(Tableau_Devis[[#This Row],[Destination des aides]]="Fonctionnement",ROUND(SUMPRODUCT(OFFSET(Tableau_Partenaires[[#Headers],[Nom court]],MATCH(Tableau_Devis[[#This Row],[Partenaire]],Tableau_Partenaires[Nom court],0),MATCH("Salaire Cat. 1",Tableau_Partenaires[#Headers],0)-1,1,3),Tableau_Devis[[#This Row],[Personne.mois cat 1]:[Personne.mois cat 3]]),0),0)</f>
        <v>270000</v>
      </c>
      <c r="V22" s="73">
        <f ca="1">IF(Tableau_Devis[[#This Row],[Destination des aides]]="Fonctionnement", ROUND(20%*Tableau_Devis[[#This Row],[Salaires]],0),0)</f>
        <v>54000</v>
      </c>
      <c r="W22" s="73">
        <f>IF(Tableau_Devis[[#This Row],[Destination des aides]]="Fonctionnement",ROUND(Tableau_Devis[[#This Row],[Dépenses de sous-traitance H.T.]],0),0)</f>
        <v>10000</v>
      </c>
      <c r="X22" s="73">
        <f>IF(Tableau_Devis[[#This Row],[Destination des aides]]="Fonctionnement",ROUND(Tableau_Devis[[#This Row],[Contribution aux amortissements]],0),0)</f>
        <v>10000</v>
      </c>
      <c r="Y22" s="73">
        <f>IF(Tableau_Devis[[#This Row],[Destination des aides]]="Fonctionnement",ROUND(Tableau_Devis[[#This Row],[Autres_dépenses]],0),0)</f>
        <v>10000</v>
      </c>
      <c r="Z22" s="73">
        <f ca="1">SUM(Tableau_Devis[[#This Row],[Salaires]:[Autres dépenses]])</f>
        <v>354000</v>
      </c>
      <c r="AA22" s="73">
        <f>IF(Tableau_Devis[[#This Row],[Destination des aides]]="Investissement",ROUND(Tableau_Devis[[#This Row],[Investissements]],0),0)</f>
        <v>0</v>
      </c>
      <c r="AB22" s="73">
        <f ca="1">Tableau_Devis[[#This Row],[Coûts de fonctionnement]]+Tableau_Devis[[#This Row],[Coûts d''investissement]]</f>
        <v>354000</v>
      </c>
      <c r="AC22" s="19"/>
    </row>
    <row r="23" spans="1:29" ht="20.100000000000001" customHeight="1" x14ac:dyDescent="0.2">
      <c r="A23" s="66" t="s">
        <v>46</v>
      </c>
      <c r="B23" s="67"/>
      <c r="C23" s="68">
        <v>1</v>
      </c>
      <c r="D23" s="69" t="s">
        <v>89</v>
      </c>
      <c r="E23" s="77" t="s">
        <v>33</v>
      </c>
      <c r="F23" s="68">
        <v>1</v>
      </c>
      <c r="G23" s="68">
        <v>12</v>
      </c>
      <c r="H23" s="68" t="s">
        <v>47</v>
      </c>
      <c r="I23" s="70">
        <v>12</v>
      </c>
      <c r="J23" s="70">
        <v>6</v>
      </c>
      <c r="K23" s="70">
        <v>3</v>
      </c>
      <c r="L23" s="70">
        <v>50000</v>
      </c>
      <c r="M23" s="70">
        <v>25000</v>
      </c>
      <c r="N23" s="70">
        <v>10000</v>
      </c>
      <c r="O23" s="65"/>
      <c r="P23" s="91" t="str">
        <f>IF(AND(SUM(Tableau_Devis[[#This Row],[Personne.mois cat 1]:[Autres_dépenses]])&lt;&gt;0,Tableau_Devis[[#This Row],[Investissements]]=0),"Fonctionnement",IF(AND(SUM(Tableau_Devis[[#This Row],[Personne.mois cat 1]:[Autres_dépenses]])=0,Tableau_Devis[[#This Row],[Investissements]]&lt;&gt;0),"Investissement","#ERR"))</f>
        <v>Fonctionnement</v>
      </c>
      <c r="Q23" s="64" t="str">
        <f>VLOOKUP(Tableau_Devis[[#This Row],[Partenaire]],Tableau_Partenaires[],7,FALSE)</f>
        <v>Complets</v>
      </c>
      <c r="R23" s="64">
        <f>Tableau_Devis[[#This Row],[Mois de fin]]-Tableau_Devis[[#This Row],[Mois de début]]+1</f>
        <v>12</v>
      </c>
      <c r="S23" s="43" t="str">
        <f>INDEX(Tableau_Calendrier[Etapes clés],MATCH(Tableau_Devis[[#This Row],[Mois de fin]]-1,Tableau_Calendrier[Délais en mois])+1)</f>
        <v>EC01</v>
      </c>
      <c r="T23" s="43">
        <f>IF(Tableau_Devis[[#This Row],[Destination des aides]]="Fonctionnement",SUM(Tableau_Devis[[#This Row],[Personne.mois cat 1]:[Personne.mois cat 3]]),0)</f>
        <v>21</v>
      </c>
      <c r="U23" s="73">
        <f ca="1">IF(Tableau_Devis[[#This Row],[Destination des aides]]="Fonctionnement",ROUND(SUMPRODUCT(OFFSET(Tableau_Partenaires[[#Headers],[Nom court]],MATCH(Tableau_Devis[[#This Row],[Partenaire]],Tableau_Partenaires[Nom court],0),MATCH("Salaire Cat. 1",Tableau_Partenaires[#Headers],0)-1,1,3),Tableau_Devis[[#This Row],[Personne.mois cat 1]:[Personne.mois cat 3]]),0),0)</f>
        <v>144000</v>
      </c>
      <c r="V23" s="73">
        <f ca="1">IF(Tableau_Devis[[#This Row],[Destination des aides]]="Fonctionnement", ROUND(20%*Tableau_Devis[[#This Row],[Salaires]],0),0)</f>
        <v>28800</v>
      </c>
      <c r="W23" s="73">
        <f>IF(Tableau_Devis[[#This Row],[Destination des aides]]="Fonctionnement",ROUND(Tableau_Devis[[#This Row],[Dépenses de sous-traitance H.T.]],0),0)</f>
        <v>50000</v>
      </c>
      <c r="X23" s="73">
        <f>IF(Tableau_Devis[[#This Row],[Destination des aides]]="Fonctionnement",ROUND(Tableau_Devis[[#This Row],[Contribution aux amortissements]],0),0)</f>
        <v>25000</v>
      </c>
      <c r="Y23" s="73">
        <f>IF(Tableau_Devis[[#This Row],[Destination des aides]]="Fonctionnement",ROUND(Tableau_Devis[[#This Row],[Autres_dépenses]],0),0)</f>
        <v>10000</v>
      </c>
      <c r="Z23" s="73">
        <f ca="1">SUM(Tableau_Devis[[#This Row],[Salaires]:[Autres dépenses]])</f>
        <v>257800</v>
      </c>
      <c r="AA23" s="73">
        <f>IF(Tableau_Devis[[#This Row],[Destination des aides]]="Investissement",ROUND(Tableau_Devis[[#This Row],[Investissements]],0),0)</f>
        <v>0</v>
      </c>
      <c r="AB23" s="73">
        <f ca="1">Tableau_Devis[[#This Row],[Coûts de fonctionnement]]+Tableau_Devis[[#This Row],[Coûts d''investissement]]</f>
        <v>257800</v>
      </c>
      <c r="AC23" s="19"/>
    </row>
    <row r="24" spans="1:29" ht="20.100000000000001" customHeight="1" x14ac:dyDescent="0.2">
      <c r="A24" s="66" t="s">
        <v>46</v>
      </c>
      <c r="B24" s="67"/>
      <c r="C24" s="68">
        <v>1</v>
      </c>
      <c r="D24" s="69" t="s">
        <v>89</v>
      </c>
      <c r="E24" s="77" t="s">
        <v>35</v>
      </c>
      <c r="F24" s="68">
        <v>1</v>
      </c>
      <c r="G24" s="68">
        <v>12</v>
      </c>
      <c r="H24" s="68" t="s">
        <v>47</v>
      </c>
      <c r="I24" s="70">
        <v>6</v>
      </c>
      <c r="J24" s="70">
        <v>3</v>
      </c>
      <c r="K24" s="70"/>
      <c r="L24" s="70">
        <v>15000</v>
      </c>
      <c r="M24" s="70">
        <v>5000</v>
      </c>
      <c r="N24" s="70">
        <v>5000</v>
      </c>
      <c r="O24" s="65"/>
      <c r="P24" s="91" t="str">
        <f>IF(AND(SUM(Tableau_Devis[[#This Row],[Personne.mois cat 1]:[Autres_dépenses]])&lt;&gt;0,Tableau_Devis[[#This Row],[Investissements]]=0),"Fonctionnement",IF(AND(SUM(Tableau_Devis[[#This Row],[Personne.mois cat 1]:[Autres_dépenses]])=0,Tableau_Devis[[#This Row],[Investissements]]&lt;&gt;0),"Investissement","#ERR"))</f>
        <v>Fonctionnement</v>
      </c>
      <c r="Q24" s="64" t="str">
        <f>VLOOKUP(Tableau_Devis[[#This Row],[Partenaire]],Tableau_Partenaires[],7,FALSE)</f>
        <v>Complets</v>
      </c>
      <c r="R24" s="64">
        <f>Tableau_Devis[[#This Row],[Mois de fin]]-Tableau_Devis[[#This Row],[Mois de début]]+1</f>
        <v>12</v>
      </c>
      <c r="S24" s="43" t="str">
        <f>INDEX(Tableau_Calendrier[Etapes clés],MATCH(Tableau_Devis[[#This Row],[Mois de fin]]-1,Tableau_Calendrier[Délais en mois])+1)</f>
        <v>EC01</v>
      </c>
      <c r="T24" s="43">
        <f>IF(Tableau_Devis[[#This Row],[Destination des aides]]="Fonctionnement",SUM(Tableau_Devis[[#This Row],[Personne.mois cat 1]:[Personne.mois cat 3]]),0)</f>
        <v>9</v>
      </c>
      <c r="U24" s="73">
        <f ca="1">IF(Tableau_Devis[[#This Row],[Destination des aides]]="Fonctionnement",ROUND(SUMPRODUCT(OFFSET(Tableau_Partenaires[[#Headers],[Nom court]],MATCH(Tableau_Devis[[#This Row],[Partenaire]],Tableau_Partenaires[Nom court],0),MATCH("Salaire Cat. 1",Tableau_Partenaires[#Headers],0)-1,1,3),Tableau_Devis[[#This Row],[Personne.mois cat 1]:[Personne.mois cat 3]]),0),0)</f>
        <v>60000</v>
      </c>
      <c r="V24" s="73">
        <f ca="1">IF(Tableau_Devis[[#This Row],[Destination des aides]]="Fonctionnement", ROUND(20%*Tableau_Devis[[#This Row],[Salaires]],0),0)</f>
        <v>12000</v>
      </c>
      <c r="W24" s="73">
        <f>IF(Tableau_Devis[[#This Row],[Destination des aides]]="Fonctionnement",ROUND(Tableau_Devis[[#This Row],[Dépenses de sous-traitance H.T.]],0),0)</f>
        <v>15000</v>
      </c>
      <c r="X24" s="73">
        <f>IF(Tableau_Devis[[#This Row],[Destination des aides]]="Fonctionnement",ROUND(Tableau_Devis[[#This Row],[Contribution aux amortissements]],0),0)</f>
        <v>5000</v>
      </c>
      <c r="Y24" s="73">
        <f>IF(Tableau_Devis[[#This Row],[Destination des aides]]="Fonctionnement",ROUND(Tableau_Devis[[#This Row],[Autres_dépenses]],0),0)</f>
        <v>5000</v>
      </c>
      <c r="Z24" s="73">
        <f ca="1">SUM(Tableau_Devis[[#This Row],[Salaires]:[Autres dépenses]])</f>
        <v>97000</v>
      </c>
      <c r="AA24" s="73">
        <f>IF(Tableau_Devis[[#This Row],[Destination des aides]]="Investissement",ROUND(Tableau_Devis[[#This Row],[Investissements]],0),0)</f>
        <v>0</v>
      </c>
      <c r="AB24" s="73">
        <f ca="1">Tableau_Devis[[#This Row],[Coûts de fonctionnement]]+Tableau_Devis[[#This Row],[Coûts d''investissement]]</f>
        <v>97000</v>
      </c>
      <c r="AC24" s="19"/>
    </row>
    <row r="25" spans="1:29" ht="20.100000000000001" customHeight="1" x14ac:dyDescent="0.2">
      <c r="A25" s="66" t="s">
        <v>46</v>
      </c>
      <c r="B25" s="67"/>
      <c r="C25" s="68">
        <v>2</v>
      </c>
      <c r="D25" s="69" t="s">
        <v>90</v>
      </c>
      <c r="E25" s="77" t="s">
        <v>33</v>
      </c>
      <c r="F25" s="68">
        <v>13</v>
      </c>
      <c r="G25" s="68">
        <v>24</v>
      </c>
      <c r="H25" s="68" t="s">
        <v>48</v>
      </c>
      <c r="I25" s="70"/>
      <c r="J25" s="70"/>
      <c r="K25" s="70"/>
      <c r="L25" s="70">
        <v>100000</v>
      </c>
      <c r="M25" s="70"/>
      <c r="N25" s="70"/>
      <c r="O25" s="65"/>
      <c r="P25" s="91" t="str">
        <f>IF(AND(SUM(Tableau_Devis[[#This Row],[Personne.mois cat 1]:[Autres_dépenses]])&lt;&gt;0,Tableau_Devis[[#This Row],[Investissements]]=0),"Fonctionnement",IF(AND(SUM(Tableau_Devis[[#This Row],[Personne.mois cat 1]:[Autres_dépenses]])=0,Tableau_Devis[[#This Row],[Investissements]]&lt;&gt;0),"Investissement","#ERR"))</f>
        <v>Fonctionnement</v>
      </c>
      <c r="Q25" s="64" t="str">
        <f>VLOOKUP(Tableau_Devis[[#This Row],[Partenaire]],Tableau_Partenaires[],7,FALSE)</f>
        <v>Complets</v>
      </c>
      <c r="R25" s="64">
        <f>Tableau_Devis[[#This Row],[Mois de fin]]-Tableau_Devis[[#This Row],[Mois de début]]+1</f>
        <v>12</v>
      </c>
      <c r="S25" s="43" t="str">
        <f>INDEX(Tableau_Calendrier[Etapes clés],MATCH(Tableau_Devis[[#This Row],[Mois de fin]]-1,Tableau_Calendrier[Délais en mois])+1)</f>
        <v>EC02</v>
      </c>
      <c r="T25" s="43">
        <f>IF(Tableau_Devis[[#This Row],[Destination des aides]]="Fonctionnement",SUM(Tableau_Devis[[#This Row],[Personne.mois cat 1]:[Personne.mois cat 3]]),0)</f>
        <v>0</v>
      </c>
      <c r="U25" s="73">
        <f ca="1">IF(Tableau_Devis[[#This Row],[Destination des aides]]="Fonctionnement",ROUND(SUMPRODUCT(OFFSET(Tableau_Partenaires[[#Headers],[Nom court]],MATCH(Tableau_Devis[[#This Row],[Partenaire]],Tableau_Partenaires[Nom court],0),MATCH("Salaire Cat. 1",Tableau_Partenaires[#Headers],0)-1,1,3),Tableau_Devis[[#This Row],[Personne.mois cat 1]:[Personne.mois cat 3]]),0),0)</f>
        <v>0</v>
      </c>
      <c r="V25" s="73">
        <f ca="1">IF(Tableau_Devis[[#This Row],[Destination des aides]]="Fonctionnement", ROUND(20%*Tableau_Devis[[#This Row],[Salaires]],0),0)</f>
        <v>0</v>
      </c>
      <c r="W25" s="73">
        <f>IF(Tableau_Devis[[#This Row],[Destination des aides]]="Fonctionnement",ROUND(Tableau_Devis[[#This Row],[Dépenses de sous-traitance H.T.]],0),0)</f>
        <v>100000</v>
      </c>
      <c r="X25" s="73">
        <f>IF(Tableau_Devis[[#This Row],[Destination des aides]]="Fonctionnement",ROUND(Tableau_Devis[[#This Row],[Contribution aux amortissements]],0),0)</f>
        <v>0</v>
      </c>
      <c r="Y25" s="73">
        <f>IF(Tableau_Devis[[#This Row],[Destination des aides]]="Fonctionnement",ROUND(Tableau_Devis[[#This Row],[Autres_dépenses]],0),0)</f>
        <v>0</v>
      </c>
      <c r="Z25" s="73">
        <f ca="1">SUM(Tableau_Devis[[#This Row],[Salaires]:[Autres dépenses]])</f>
        <v>100000</v>
      </c>
      <c r="AA25" s="73">
        <f>IF(Tableau_Devis[[#This Row],[Destination des aides]]="Investissement",ROUND(Tableau_Devis[[#This Row],[Investissements]],0),0)</f>
        <v>0</v>
      </c>
      <c r="AB25" s="73">
        <f ca="1">Tableau_Devis[[#This Row],[Coûts de fonctionnement]]+Tableau_Devis[[#This Row],[Coûts d''investissement]]</f>
        <v>100000</v>
      </c>
      <c r="AC25" s="19"/>
    </row>
    <row r="26" spans="1:29" ht="20.100000000000001" customHeight="1" x14ac:dyDescent="0.2">
      <c r="A26" s="66" t="s">
        <v>46</v>
      </c>
      <c r="B26" s="67"/>
      <c r="C26" s="68">
        <v>2</v>
      </c>
      <c r="D26" s="69" t="s">
        <v>91</v>
      </c>
      <c r="E26" s="77" t="s">
        <v>35</v>
      </c>
      <c r="F26" s="68">
        <v>13</v>
      </c>
      <c r="G26" s="68">
        <v>24</v>
      </c>
      <c r="H26" s="68" t="s">
        <v>48</v>
      </c>
      <c r="I26" s="70"/>
      <c r="J26" s="70"/>
      <c r="K26" s="70"/>
      <c r="L26" s="70">
        <v>30000</v>
      </c>
      <c r="M26" s="70"/>
      <c r="N26" s="70"/>
      <c r="O26" s="65"/>
      <c r="P26" s="91" t="str">
        <f>IF(AND(SUM(Tableau_Devis[[#This Row],[Personne.mois cat 1]:[Autres_dépenses]])&lt;&gt;0,Tableau_Devis[[#This Row],[Investissements]]=0),"Fonctionnement",IF(AND(SUM(Tableau_Devis[[#This Row],[Personne.mois cat 1]:[Autres_dépenses]])=0,Tableau_Devis[[#This Row],[Investissements]]&lt;&gt;0),"Investissement","#ERR"))</f>
        <v>Fonctionnement</v>
      </c>
      <c r="Q26" s="64" t="str">
        <f>VLOOKUP(Tableau_Devis[[#This Row],[Partenaire]],Tableau_Partenaires[],7,FALSE)</f>
        <v>Complets</v>
      </c>
      <c r="R26" s="64">
        <f>Tableau_Devis[[#This Row],[Mois de fin]]-Tableau_Devis[[#This Row],[Mois de début]]+1</f>
        <v>12</v>
      </c>
      <c r="S26" s="43" t="str">
        <f>INDEX(Tableau_Calendrier[Etapes clés],MATCH(Tableau_Devis[[#This Row],[Mois de fin]]-1,Tableau_Calendrier[Délais en mois])+1)</f>
        <v>EC02</v>
      </c>
      <c r="T26" s="43">
        <f>IF(Tableau_Devis[[#This Row],[Destination des aides]]="Fonctionnement",SUM(Tableau_Devis[[#This Row],[Personne.mois cat 1]:[Personne.mois cat 3]]),0)</f>
        <v>0</v>
      </c>
      <c r="U26" s="73">
        <f ca="1">IF(Tableau_Devis[[#This Row],[Destination des aides]]="Fonctionnement",ROUND(SUMPRODUCT(OFFSET(Tableau_Partenaires[[#Headers],[Nom court]],MATCH(Tableau_Devis[[#This Row],[Partenaire]],Tableau_Partenaires[Nom court],0),MATCH("Salaire Cat. 1",Tableau_Partenaires[#Headers],0)-1,1,3),Tableau_Devis[[#This Row],[Personne.mois cat 1]:[Personne.mois cat 3]]),0),0)</f>
        <v>0</v>
      </c>
      <c r="V26" s="73">
        <f ca="1">IF(Tableau_Devis[[#This Row],[Destination des aides]]="Fonctionnement", ROUND(20%*Tableau_Devis[[#This Row],[Salaires]],0),0)</f>
        <v>0</v>
      </c>
      <c r="W26" s="73">
        <f>IF(Tableau_Devis[[#This Row],[Destination des aides]]="Fonctionnement",ROUND(Tableau_Devis[[#This Row],[Dépenses de sous-traitance H.T.]],0),0)</f>
        <v>30000</v>
      </c>
      <c r="X26" s="73">
        <f>IF(Tableau_Devis[[#This Row],[Destination des aides]]="Fonctionnement",ROUND(Tableau_Devis[[#This Row],[Contribution aux amortissements]],0),0)</f>
        <v>0</v>
      </c>
      <c r="Y26" s="73">
        <f>IF(Tableau_Devis[[#This Row],[Destination des aides]]="Fonctionnement",ROUND(Tableau_Devis[[#This Row],[Autres_dépenses]],0),0)</f>
        <v>0</v>
      </c>
      <c r="Z26" s="73">
        <f ca="1">SUM(Tableau_Devis[[#This Row],[Salaires]:[Autres dépenses]])</f>
        <v>30000</v>
      </c>
      <c r="AA26" s="73">
        <f>IF(Tableau_Devis[[#This Row],[Destination des aides]]="Investissement",ROUND(Tableau_Devis[[#This Row],[Investissements]],0),0)</f>
        <v>0</v>
      </c>
      <c r="AB26" s="73">
        <f ca="1">Tableau_Devis[[#This Row],[Coûts de fonctionnement]]+Tableau_Devis[[#This Row],[Coûts d''investissement]]</f>
        <v>30000</v>
      </c>
      <c r="AC26" s="19"/>
    </row>
    <row r="27" spans="1:29" ht="20.100000000000001" customHeight="1" x14ac:dyDescent="0.2">
      <c r="A27" s="66" t="s">
        <v>92</v>
      </c>
      <c r="B27" s="67"/>
      <c r="C27" s="68">
        <v>3</v>
      </c>
      <c r="D27" s="69" t="s">
        <v>93</v>
      </c>
      <c r="E27" s="77" t="s">
        <v>33</v>
      </c>
      <c r="F27" s="68">
        <v>25</v>
      </c>
      <c r="G27" s="68">
        <v>36</v>
      </c>
      <c r="H27" s="68" t="s">
        <v>49</v>
      </c>
      <c r="I27" s="70"/>
      <c r="J27" s="70"/>
      <c r="K27" s="70"/>
      <c r="L27" s="70"/>
      <c r="M27" s="70"/>
      <c r="N27" s="70"/>
      <c r="O27" s="65">
        <v>250000</v>
      </c>
      <c r="P27" s="91" t="str">
        <f>IF(AND(SUM(Tableau_Devis[[#This Row],[Personne.mois cat 1]:[Autres_dépenses]])&lt;&gt;0,Tableau_Devis[[#This Row],[Investissements]]=0),"Fonctionnement",IF(AND(SUM(Tableau_Devis[[#This Row],[Personne.mois cat 1]:[Autres_dépenses]])=0,Tableau_Devis[[#This Row],[Investissements]]&lt;&gt;0),"Investissement","#ERR"))</f>
        <v>Investissement</v>
      </c>
      <c r="Q27" s="64" t="str">
        <f>VLOOKUP(Tableau_Devis[[#This Row],[Partenaire]],Tableau_Partenaires[],7,FALSE)</f>
        <v>Complets</v>
      </c>
      <c r="R27" s="64">
        <f>Tableau_Devis[[#This Row],[Mois de fin]]-Tableau_Devis[[#This Row],[Mois de début]]+1</f>
        <v>12</v>
      </c>
      <c r="S27" s="43" t="str">
        <f>INDEX(Tableau_Calendrier[Etapes clés],MATCH(Tableau_Devis[[#This Row],[Mois de fin]]-1,Tableau_Calendrier[Délais en mois])+1)</f>
        <v>EC03</v>
      </c>
      <c r="T27" s="43">
        <f>IF(Tableau_Devis[[#This Row],[Destination des aides]]="Fonctionnement",SUM(Tableau_Devis[[#This Row],[Personne.mois cat 1]:[Personne.mois cat 3]]),0)</f>
        <v>0</v>
      </c>
      <c r="U27" s="73">
        <f ca="1">IF(Tableau_Devis[[#This Row],[Destination des aides]]="Fonctionnement",ROUND(SUMPRODUCT(OFFSET(Tableau_Partenaires[[#Headers],[Nom court]],MATCH(Tableau_Devis[[#This Row],[Partenaire]],Tableau_Partenaires[Nom court],0),MATCH("Salaire Cat. 1",Tableau_Partenaires[#Headers],0)-1,1,3),Tableau_Devis[[#This Row],[Personne.mois cat 1]:[Personne.mois cat 3]]),0),0)</f>
        <v>0</v>
      </c>
      <c r="V27" s="73">
        <f>IF(Tableau_Devis[[#This Row],[Destination des aides]]="Fonctionnement", ROUND(20%*Tableau_Devis[[#This Row],[Salaires]],0),0)</f>
        <v>0</v>
      </c>
      <c r="W27" s="73">
        <f>IF(Tableau_Devis[[#This Row],[Destination des aides]]="Fonctionnement",ROUND(Tableau_Devis[[#This Row],[Dépenses de sous-traitance H.T.]],0),0)</f>
        <v>0</v>
      </c>
      <c r="X27" s="73">
        <f>IF(Tableau_Devis[[#This Row],[Destination des aides]]="Fonctionnement",ROUND(Tableau_Devis[[#This Row],[Contribution aux amortissements]],0),0)</f>
        <v>0</v>
      </c>
      <c r="Y27" s="73">
        <f>IF(Tableau_Devis[[#This Row],[Destination des aides]]="Fonctionnement",ROUND(Tableau_Devis[[#This Row],[Autres_dépenses]],0),0)</f>
        <v>0</v>
      </c>
      <c r="Z27" s="73">
        <f ca="1">SUM(Tableau_Devis[[#This Row],[Salaires]:[Autres dépenses]])</f>
        <v>0</v>
      </c>
      <c r="AA27" s="73">
        <f>IF(Tableau_Devis[[#This Row],[Destination des aides]]="Investissement",ROUND(Tableau_Devis[[#This Row],[Investissements]],0),0)</f>
        <v>250000</v>
      </c>
      <c r="AB27" s="73">
        <f ca="1">Tableau_Devis[[#This Row],[Coûts de fonctionnement]]+Tableau_Devis[[#This Row],[Coûts d''investissement]]</f>
        <v>250000</v>
      </c>
      <c r="AC27" s="19"/>
    </row>
    <row r="28" spans="1:29" ht="20.100000000000001" customHeight="1" x14ac:dyDescent="0.2">
      <c r="A28" s="66" t="s">
        <v>92</v>
      </c>
      <c r="B28" s="67"/>
      <c r="C28" s="68">
        <v>3</v>
      </c>
      <c r="D28" s="69" t="s">
        <v>94</v>
      </c>
      <c r="E28" s="77" t="s">
        <v>35</v>
      </c>
      <c r="F28" s="68">
        <v>25</v>
      </c>
      <c r="G28" s="68">
        <v>36</v>
      </c>
      <c r="H28" s="68" t="s">
        <v>49</v>
      </c>
      <c r="I28" s="70"/>
      <c r="J28" s="70"/>
      <c r="K28" s="70"/>
      <c r="L28" s="70"/>
      <c r="M28" s="70"/>
      <c r="N28" s="70"/>
      <c r="O28" s="65">
        <v>700000</v>
      </c>
      <c r="P28" s="91" t="str">
        <f>IF(AND(SUM(Tableau_Devis[[#This Row],[Personne.mois cat 1]:[Autres_dépenses]])&lt;&gt;0,Tableau_Devis[[#This Row],[Investissements]]=0),"Fonctionnement",IF(AND(SUM(Tableau_Devis[[#This Row],[Personne.mois cat 1]:[Autres_dépenses]])=0,Tableau_Devis[[#This Row],[Investissements]]&lt;&gt;0),"Investissement","#ERR"))</f>
        <v>Investissement</v>
      </c>
      <c r="Q28" s="64" t="str">
        <f>VLOOKUP(Tableau_Devis[[#This Row],[Partenaire]],Tableau_Partenaires[],7,FALSE)</f>
        <v>Complets</v>
      </c>
      <c r="R28" s="64">
        <f>Tableau_Devis[[#This Row],[Mois de fin]]-Tableau_Devis[[#This Row],[Mois de début]]+1</f>
        <v>12</v>
      </c>
      <c r="S28" s="43" t="str">
        <f>INDEX(Tableau_Calendrier[Etapes clés],MATCH(Tableau_Devis[[#This Row],[Mois de fin]]-1,Tableau_Calendrier[Délais en mois])+1)</f>
        <v>EC03</v>
      </c>
      <c r="T28" s="43">
        <f>IF(Tableau_Devis[[#This Row],[Destination des aides]]="Fonctionnement",SUM(Tableau_Devis[[#This Row],[Personne.mois cat 1]:[Personne.mois cat 3]]),0)</f>
        <v>0</v>
      </c>
      <c r="U28" s="73">
        <f ca="1">IF(Tableau_Devis[[#This Row],[Destination des aides]]="Fonctionnement",ROUND(SUMPRODUCT(OFFSET(Tableau_Partenaires[[#Headers],[Nom court]],MATCH(Tableau_Devis[[#This Row],[Partenaire]],Tableau_Partenaires[Nom court],0),MATCH("Salaire Cat. 1",Tableau_Partenaires[#Headers],0)-1,1,3),Tableau_Devis[[#This Row],[Personne.mois cat 1]:[Personne.mois cat 3]]),0),0)</f>
        <v>0</v>
      </c>
      <c r="V28" s="73">
        <f>IF(Tableau_Devis[[#This Row],[Destination des aides]]="Fonctionnement", ROUND(20%*Tableau_Devis[[#This Row],[Salaires]],0),0)</f>
        <v>0</v>
      </c>
      <c r="W28" s="73">
        <f>IF(Tableau_Devis[[#This Row],[Destination des aides]]="Fonctionnement",ROUND(Tableau_Devis[[#This Row],[Dépenses de sous-traitance H.T.]],0),0)</f>
        <v>0</v>
      </c>
      <c r="X28" s="73">
        <f>IF(Tableau_Devis[[#This Row],[Destination des aides]]="Fonctionnement",ROUND(Tableau_Devis[[#This Row],[Contribution aux amortissements]],0),0)</f>
        <v>0</v>
      </c>
      <c r="Y28" s="73">
        <f>IF(Tableau_Devis[[#This Row],[Destination des aides]]="Fonctionnement",ROUND(Tableau_Devis[[#This Row],[Autres_dépenses]],0),0)</f>
        <v>0</v>
      </c>
      <c r="Z28" s="73">
        <f ca="1">SUM(Tableau_Devis[[#This Row],[Salaires]:[Autres dépenses]])</f>
        <v>0</v>
      </c>
      <c r="AA28" s="73">
        <f>IF(Tableau_Devis[[#This Row],[Destination des aides]]="Investissement",ROUND(Tableau_Devis[[#This Row],[Investissements]],0),0)</f>
        <v>700000</v>
      </c>
      <c r="AB28" s="73">
        <f ca="1">Tableau_Devis[[#This Row],[Coûts de fonctionnement]]+Tableau_Devis[[#This Row],[Coûts d''investissement]]</f>
        <v>700000</v>
      </c>
      <c r="AC28" s="19"/>
    </row>
    <row r="29" spans="1:29" ht="20.100000000000001" customHeight="1" x14ac:dyDescent="0.2">
      <c r="A29" s="66" t="s">
        <v>97</v>
      </c>
      <c r="B29" s="67"/>
      <c r="C29" s="68">
        <v>4</v>
      </c>
      <c r="D29" s="69" t="s">
        <v>95</v>
      </c>
      <c r="E29" s="77" t="s">
        <v>33</v>
      </c>
      <c r="F29" s="68">
        <v>25</v>
      </c>
      <c r="G29" s="68">
        <v>36</v>
      </c>
      <c r="H29" s="68" t="s">
        <v>49</v>
      </c>
      <c r="I29" s="70">
        <v>12</v>
      </c>
      <c r="J29" s="70"/>
      <c r="K29" s="70"/>
      <c r="L29" s="70">
        <v>25000</v>
      </c>
      <c r="M29" s="70"/>
      <c r="N29" s="70">
        <v>5000</v>
      </c>
      <c r="O29" s="65"/>
      <c r="P29" s="91" t="str">
        <f>IF(AND(SUM(Tableau_Devis[[#This Row],[Personne.mois cat 1]:[Autres_dépenses]])&lt;&gt;0,Tableau_Devis[[#This Row],[Investissements]]=0),"Fonctionnement",IF(AND(SUM(Tableau_Devis[[#This Row],[Personne.mois cat 1]:[Autres_dépenses]])=0,Tableau_Devis[[#This Row],[Investissements]]&lt;&gt;0),"Investissement","#ERR"))</f>
        <v>Fonctionnement</v>
      </c>
      <c r="Q29" s="64" t="str">
        <f>VLOOKUP(Tableau_Devis[[#This Row],[Partenaire]],Tableau_Partenaires[],7,FALSE)</f>
        <v>Complets</v>
      </c>
      <c r="R29" s="64">
        <f>Tableau_Devis[[#This Row],[Mois de fin]]-Tableau_Devis[[#This Row],[Mois de début]]+1</f>
        <v>12</v>
      </c>
      <c r="S29" s="43" t="str">
        <f>INDEX(Tableau_Calendrier[Etapes clés],MATCH(Tableau_Devis[[#This Row],[Mois de fin]]-1,Tableau_Calendrier[Délais en mois])+1)</f>
        <v>EC03</v>
      </c>
      <c r="T29" s="43">
        <f>IF(Tableau_Devis[[#This Row],[Destination des aides]]="Fonctionnement",SUM(Tableau_Devis[[#This Row],[Personne.mois cat 1]:[Personne.mois cat 3]]),0)</f>
        <v>12</v>
      </c>
      <c r="U29" s="73">
        <f ca="1">IF(Tableau_Devis[[#This Row],[Destination des aides]]="Fonctionnement",ROUND(SUMPRODUCT(OFFSET(Tableau_Partenaires[[#Headers],[Nom court]],MATCH(Tableau_Devis[[#This Row],[Partenaire]],Tableau_Partenaires[Nom court],0),MATCH("Salaire Cat. 1",Tableau_Partenaires[#Headers],0)-1,1,3),Tableau_Devis[[#This Row],[Personne.mois cat 1]:[Personne.mois cat 3]]),0),0)</f>
        <v>96000</v>
      </c>
      <c r="V29" s="73">
        <f ca="1">IF(Tableau_Devis[[#This Row],[Destination des aides]]="Fonctionnement", ROUND(20%*Tableau_Devis[[#This Row],[Salaires]],0),0)</f>
        <v>19200</v>
      </c>
      <c r="W29" s="73">
        <f>IF(Tableau_Devis[[#This Row],[Destination des aides]]="Fonctionnement",ROUND(Tableau_Devis[[#This Row],[Dépenses de sous-traitance H.T.]],0),0)</f>
        <v>25000</v>
      </c>
      <c r="X29" s="73">
        <f>IF(Tableau_Devis[[#This Row],[Destination des aides]]="Fonctionnement",ROUND(Tableau_Devis[[#This Row],[Contribution aux amortissements]],0),0)</f>
        <v>0</v>
      </c>
      <c r="Y29" s="73">
        <f>IF(Tableau_Devis[[#This Row],[Destination des aides]]="Fonctionnement",ROUND(Tableau_Devis[[#This Row],[Autres_dépenses]],0),0)</f>
        <v>5000</v>
      </c>
      <c r="Z29" s="73">
        <f ca="1">SUM(Tableau_Devis[[#This Row],[Salaires]:[Autres dépenses]])</f>
        <v>145200</v>
      </c>
      <c r="AA29" s="73">
        <f>IF(Tableau_Devis[[#This Row],[Destination des aides]]="Investissement",ROUND(Tableau_Devis[[#This Row],[Investissements]],0),0)</f>
        <v>0</v>
      </c>
      <c r="AB29" s="73">
        <f ca="1">Tableau_Devis[[#This Row],[Coûts de fonctionnement]]+Tableau_Devis[[#This Row],[Coûts d''investissement]]</f>
        <v>145200</v>
      </c>
      <c r="AC29" s="19"/>
    </row>
    <row r="30" spans="1:29" ht="20.100000000000001" customHeight="1" x14ac:dyDescent="0.2">
      <c r="A30" s="66" t="s">
        <v>97</v>
      </c>
      <c r="B30" s="67"/>
      <c r="C30" s="68">
        <v>4</v>
      </c>
      <c r="D30" s="69" t="s">
        <v>96</v>
      </c>
      <c r="E30" s="77" t="s">
        <v>35</v>
      </c>
      <c r="F30" s="68">
        <v>25</v>
      </c>
      <c r="G30" s="68">
        <v>36</v>
      </c>
      <c r="H30" s="68" t="s">
        <v>45</v>
      </c>
      <c r="I30" s="70">
        <v>12</v>
      </c>
      <c r="J30" s="70"/>
      <c r="K30" s="70"/>
      <c r="L30" s="70">
        <v>30000</v>
      </c>
      <c r="M30" s="70"/>
      <c r="N30" s="70">
        <v>10000</v>
      </c>
      <c r="O30" s="65"/>
      <c r="P30" s="91" t="str">
        <f>IF(AND(SUM(Tableau_Devis[[#This Row],[Personne.mois cat 1]:[Autres_dépenses]])&lt;&gt;0,Tableau_Devis[[#This Row],[Investissements]]=0),"Fonctionnement",IF(AND(SUM(Tableau_Devis[[#This Row],[Personne.mois cat 1]:[Autres_dépenses]])=0,Tableau_Devis[[#This Row],[Investissements]]&lt;&gt;0),"Investissement","#ERR"))</f>
        <v>Fonctionnement</v>
      </c>
      <c r="Q30" s="64" t="str">
        <f>VLOOKUP(Tableau_Devis[[#This Row],[Partenaire]],Tableau_Partenaires[],7,FALSE)</f>
        <v>Complets</v>
      </c>
      <c r="R30" s="64">
        <f>Tableau_Devis[[#This Row],[Mois de fin]]-Tableau_Devis[[#This Row],[Mois de début]]+1</f>
        <v>12</v>
      </c>
      <c r="S30" s="43" t="str">
        <f>INDEX(Tableau_Calendrier[Etapes clés],MATCH(Tableau_Devis[[#This Row],[Mois de fin]]-1,Tableau_Calendrier[Délais en mois])+1)</f>
        <v>EC03</v>
      </c>
      <c r="T30" s="43">
        <f>IF(Tableau_Devis[[#This Row],[Destination des aides]]="Fonctionnement",SUM(Tableau_Devis[[#This Row],[Personne.mois cat 1]:[Personne.mois cat 3]]),0)</f>
        <v>12</v>
      </c>
      <c r="U30" s="73">
        <f ca="1">IF(Tableau_Devis[[#This Row],[Destination des aides]]="Fonctionnement",ROUND(SUMPRODUCT(OFFSET(Tableau_Partenaires[[#Headers],[Nom court]],MATCH(Tableau_Devis[[#This Row],[Partenaire]],Tableau_Partenaires[Nom court],0),MATCH("Salaire Cat. 1",Tableau_Partenaires[#Headers],0)-1,1,3),Tableau_Devis[[#This Row],[Personne.mois cat 1]:[Personne.mois cat 3]]),0),0)</f>
        <v>90000</v>
      </c>
      <c r="V30" s="73">
        <f ca="1">IF(Tableau_Devis[[#This Row],[Destination des aides]]="Fonctionnement", ROUND(20%*Tableau_Devis[[#This Row],[Salaires]],0),0)</f>
        <v>18000</v>
      </c>
      <c r="W30" s="73">
        <f>IF(Tableau_Devis[[#This Row],[Destination des aides]]="Fonctionnement",ROUND(Tableau_Devis[[#This Row],[Dépenses de sous-traitance H.T.]],0),0)</f>
        <v>30000</v>
      </c>
      <c r="X30" s="73">
        <f>IF(Tableau_Devis[[#This Row],[Destination des aides]]="Fonctionnement",ROUND(Tableau_Devis[[#This Row],[Contribution aux amortissements]],0),0)</f>
        <v>0</v>
      </c>
      <c r="Y30" s="73">
        <f>IF(Tableau_Devis[[#This Row],[Destination des aides]]="Fonctionnement",ROUND(Tableau_Devis[[#This Row],[Autres_dépenses]],0),0)</f>
        <v>10000</v>
      </c>
      <c r="Z30" s="73">
        <f ca="1">SUM(Tableau_Devis[[#This Row],[Salaires]:[Autres dépenses]])</f>
        <v>148000</v>
      </c>
      <c r="AA30" s="73">
        <f>IF(Tableau_Devis[[#This Row],[Destination des aides]]="Investissement",ROUND(Tableau_Devis[[#This Row],[Investissements]],0),0)</f>
        <v>0</v>
      </c>
      <c r="AB30" s="73">
        <f ca="1">Tableau_Devis[[#This Row],[Coûts de fonctionnement]]+Tableau_Devis[[#This Row],[Coûts d''investissement]]</f>
        <v>148000</v>
      </c>
      <c r="AC30" s="19"/>
    </row>
  </sheetData>
  <sheetProtection autoFilter="0"/>
  <dataConsolidate/>
  <phoneticPr fontId="2" type="noConversion"/>
  <conditionalFormatting sqref="I7:N30">
    <cfRule type="expression" dxfId="211" priority="1">
      <formula>AND(I7&lt;&gt;0,#REF!="Investissement")</formula>
    </cfRule>
  </conditionalFormatting>
  <conditionalFormatting sqref="O7:O30">
    <cfRule type="expression" dxfId="210" priority="2">
      <formula>AND($O7&lt;&gt;0,#REF!="Fonctionnement")</formula>
    </cfRule>
  </conditionalFormatting>
  <dataValidations count="9">
    <dataValidation type="decimal" allowBlank="1" showInputMessage="1" showErrorMessage="1" prompt="si RI --&gt; 100%_x000a_si DE --&gt; 0%_x000a_si MIX, 0%&lt;valeur&lt;100%_x000a_sinon --&gt;0%" sqref="Q8:T8">
      <formula1>0</formula1>
      <formula2>1</formula2>
    </dataValidation>
    <dataValidation operator="greaterThan" allowBlank="1" showErrorMessage="1" sqref="V7"/>
    <dataValidation type="whole" operator="greaterThan" allowBlank="1" showErrorMessage="1" sqref="V8:V19 W7:AB19 U20:AB30 U7:U19">
      <formula1>0</formula1>
    </dataValidation>
    <dataValidation type="whole" operator="greaterThanOrEqual" allowBlank="1" showInputMessage="1" showErrorMessage="1" sqref="F7:F30">
      <formula1>1</formula1>
    </dataValidation>
    <dataValidation type="list" allowBlank="1" showInputMessage="1" showErrorMessage="1" sqref="E7:E30">
      <formula1>Nom_court</formula1>
    </dataValidation>
    <dataValidation type="whole" operator="greaterThanOrEqual" allowBlank="1" showInputMessage="1" showErrorMessage="1" sqref="G7:G30">
      <formula1>F7</formula1>
    </dataValidation>
    <dataValidation type="custom" operator="greaterThanOrEqual" allowBlank="1" showInputMessage="1" showErrorMessage="1" error="Valeur numérique positive et colonne 'investissements' vide_x000a_" sqref="I7:K30">
      <formula1>AND(ISNUMBER(I7),I7&gt;=0,ISBLANK($O7))</formula1>
    </dataValidation>
    <dataValidation type="custom" operator="greaterThanOrEqual" allowBlank="1" showInputMessage="1" showErrorMessage="1" error="Valeur numérique positive entière et colonne 'investissements' vide_x000a_" sqref="L7:N30">
      <formula1>AND(ISNUMBER(L7),L7&gt;=0,L7=INT(L7),ISBLANK($O7))</formula1>
    </dataValidation>
    <dataValidation type="custom" operator="greaterThanOrEqual" allowBlank="1" showInputMessage="1" showErrorMessage="1" error="Valeur numérique positive entière et colonnes 'fonctionnement' vides_x000a_" sqref="O7:O30">
      <formula1>AND(ISNUMBER(O7),O7&gt;=0,O7=INT(O7),ISBLANK(I7:N7))</formula1>
    </dataValidation>
  </dataValidations>
  <pageMargins left="0.78740157480314965" right="0.78740157480314965" top="0.98425196850393704" bottom="0.98425196850393704" header="0.51181102362204722" footer="0.51181102362204722"/>
  <pageSetup paperSize="9" scale="14" fitToHeight="30" orientation="portrait" r:id="rId1"/>
  <headerFooter alignWithMargins="0">
    <oddHeader>&amp;F</oddHeader>
    <oddFooter>&amp;A&amp;RPage &amp;P</oddFooter>
  </headerFooter>
  <legacy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2:CS29"/>
  <sheetViews>
    <sheetView workbookViewId="0">
      <selection activeCell="D8" sqref="D8"/>
    </sheetView>
  </sheetViews>
  <sheetFormatPr baseColWidth="10" defaultRowHeight="12.75" x14ac:dyDescent="0.2"/>
  <cols>
    <col min="1" max="1" width="24.140625" customWidth="1"/>
    <col min="2" max="2" width="32.42578125" customWidth="1"/>
    <col min="3" max="3" width="11.85546875" customWidth="1"/>
    <col min="4" max="4" width="12.42578125" customWidth="1"/>
    <col min="5" max="5" width="12" customWidth="1"/>
    <col min="6" max="6" width="10.7109375" customWidth="1"/>
    <col min="7" max="7" width="12.140625" customWidth="1"/>
    <col min="8" max="8" width="10.42578125" customWidth="1"/>
    <col min="9" max="9" width="10.7109375" customWidth="1"/>
    <col min="10" max="10" width="9.85546875" customWidth="1"/>
    <col min="11" max="11" width="7.7109375" customWidth="1"/>
    <col min="12" max="113" width="19.5703125" customWidth="1"/>
    <col min="114" max="114" width="10.140625" customWidth="1"/>
    <col min="115" max="115" width="22.42578125" bestFit="1" customWidth="1"/>
    <col min="116" max="116" width="22.42578125" customWidth="1"/>
    <col min="117" max="117" width="22.42578125" bestFit="1" customWidth="1"/>
    <col min="118" max="118" width="22.42578125" customWidth="1"/>
    <col min="119" max="119" width="22.42578125" bestFit="1" customWidth="1"/>
    <col min="120" max="120" width="22.42578125" customWidth="1"/>
    <col min="121" max="121" width="22.42578125" bestFit="1" customWidth="1"/>
    <col min="122" max="122" width="22.42578125" customWidth="1"/>
    <col min="123" max="123" width="22.42578125" bestFit="1" customWidth="1"/>
    <col min="124" max="124" width="22.42578125" customWidth="1"/>
    <col min="125" max="125" width="22.42578125" bestFit="1" customWidth="1"/>
    <col min="126" max="126" width="22.42578125" customWidth="1"/>
    <col min="127" max="127" width="22.42578125" bestFit="1" customWidth="1"/>
    <col min="128" max="128" width="22.42578125" customWidth="1"/>
    <col min="129" max="129" width="22.42578125" bestFit="1" customWidth="1"/>
    <col min="130" max="130" width="22.42578125" customWidth="1"/>
    <col min="131" max="131" width="22.42578125" bestFit="1" customWidth="1"/>
    <col min="132" max="132" width="22.42578125" customWidth="1"/>
    <col min="133" max="133" width="22.42578125" bestFit="1" customWidth="1"/>
    <col min="134" max="134" width="22.42578125" customWidth="1"/>
    <col min="135" max="135" width="22.42578125" bestFit="1" customWidth="1"/>
    <col min="136" max="136" width="22.42578125" customWidth="1"/>
    <col min="137" max="137" width="22.42578125" bestFit="1" customWidth="1"/>
    <col min="138" max="138" width="22.42578125" customWidth="1"/>
    <col min="139" max="139" width="22.42578125" bestFit="1" customWidth="1"/>
    <col min="140" max="140" width="22.42578125" customWidth="1"/>
    <col min="141" max="141" width="22.42578125" bestFit="1" customWidth="1"/>
    <col min="142" max="142" width="22.42578125" customWidth="1"/>
    <col min="143" max="143" width="22.42578125" bestFit="1" customWidth="1"/>
    <col min="144" max="144" width="22.42578125" customWidth="1"/>
    <col min="145" max="145" width="22.42578125" bestFit="1" customWidth="1"/>
    <col min="146" max="146" width="22.42578125" customWidth="1"/>
    <col min="147" max="147" width="22.42578125" bestFit="1" customWidth="1"/>
    <col min="148" max="148" width="22.42578125" customWidth="1"/>
    <col min="149" max="149" width="22.42578125" bestFit="1" customWidth="1"/>
    <col min="150" max="150" width="22.42578125" customWidth="1"/>
    <col min="151" max="151" width="22.42578125" bestFit="1" customWidth="1"/>
    <col min="152" max="152" width="22.42578125" customWidth="1"/>
    <col min="153" max="153" width="22.42578125" bestFit="1" customWidth="1"/>
    <col min="154" max="154" width="22.42578125" customWidth="1"/>
    <col min="155" max="155" width="22.42578125" bestFit="1" customWidth="1"/>
    <col min="156" max="157" width="22.42578125" customWidth="1"/>
    <col min="158" max="158" width="22.42578125" bestFit="1" customWidth="1"/>
    <col min="159" max="159" width="22.42578125" customWidth="1"/>
    <col min="160" max="160" width="22.42578125" bestFit="1" customWidth="1"/>
    <col min="161" max="161" width="22.42578125" customWidth="1"/>
    <col min="162" max="162" width="22.42578125" bestFit="1" customWidth="1"/>
    <col min="163" max="163" width="22.42578125" customWidth="1"/>
    <col min="164" max="164" width="22.42578125" bestFit="1" customWidth="1"/>
    <col min="165" max="165" width="22.42578125" customWidth="1"/>
    <col min="166" max="166" width="22.42578125" bestFit="1" customWidth="1"/>
    <col min="167" max="167" width="22.42578125" customWidth="1"/>
    <col min="168" max="168" width="22.42578125" bestFit="1" customWidth="1"/>
    <col min="169" max="169" width="22.42578125" customWidth="1"/>
    <col min="170" max="170" width="22.42578125" bestFit="1" customWidth="1"/>
    <col min="171" max="171" width="22.42578125" customWidth="1"/>
    <col min="172" max="172" width="22.42578125" bestFit="1" customWidth="1"/>
    <col min="173" max="173" width="22.42578125" customWidth="1"/>
    <col min="174" max="174" width="22.42578125" bestFit="1" customWidth="1"/>
    <col min="175" max="175" width="22.42578125" customWidth="1"/>
    <col min="176" max="176" width="22.42578125" bestFit="1" customWidth="1"/>
    <col min="177" max="177" width="22.42578125" customWidth="1"/>
    <col min="178" max="178" width="22.42578125" bestFit="1" customWidth="1"/>
    <col min="179" max="179" width="22.42578125" customWidth="1"/>
    <col min="180" max="180" width="22.42578125" bestFit="1" customWidth="1"/>
    <col min="181" max="181" width="22.42578125" customWidth="1"/>
    <col min="182" max="182" width="22.42578125" bestFit="1" customWidth="1"/>
    <col min="183" max="183" width="22.42578125" customWidth="1"/>
    <col min="184" max="184" width="22.42578125" bestFit="1" customWidth="1"/>
    <col min="185" max="185" width="22.42578125" customWidth="1"/>
    <col min="186" max="186" width="22.42578125" bestFit="1" customWidth="1"/>
    <col min="187" max="187" width="22.42578125" customWidth="1"/>
    <col min="188" max="188" width="22.42578125" bestFit="1" customWidth="1"/>
    <col min="189" max="189" width="22.42578125" customWidth="1"/>
    <col min="190" max="190" width="22.42578125" bestFit="1" customWidth="1"/>
    <col min="191" max="191" width="22.42578125" customWidth="1"/>
    <col min="192" max="192" width="22.42578125" bestFit="1" customWidth="1"/>
    <col min="193" max="193" width="22.42578125" customWidth="1"/>
    <col min="194" max="194" width="22.42578125" bestFit="1" customWidth="1"/>
    <col min="195" max="195" width="22.42578125" customWidth="1"/>
    <col min="196" max="196" width="22.42578125" bestFit="1" customWidth="1"/>
    <col min="197" max="197" width="22.42578125" customWidth="1"/>
    <col min="198" max="198" width="22.42578125" bestFit="1" customWidth="1"/>
    <col min="199" max="199" width="22.42578125" customWidth="1"/>
    <col min="200" max="200" width="22.42578125" bestFit="1" customWidth="1"/>
    <col min="201" max="201" width="22.42578125" customWidth="1"/>
    <col min="202" max="202" width="22.42578125" bestFit="1" customWidth="1"/>
    <col min="203" max="203" width="22.42578125" customWidth="1"/>
    <col min="204" max="204" width="22.42578125" bestFit="1" customWidth="1"/>
    <col min="205" max="205" width="22.42578125" customWidth="1"/>
    <col min="206" max="206" width="22.42578125" bestFit="1" customWidth="1"/>
    <col min="207" max="207" width="22.42578125" customWidth="1"/>
    <col min="208" max="208" width="22.42578125" bestFit="1" customWidth="1"/>
    <col min="209" max="209" width="22.42578125" customWidth="1"/>
    <col min="210" max="210" width="22.42578125" bestFit="1" customWidth="1"/>
    <col min="211" max="211" width="22.42578125" customWidth="1"/>
    <col min="212" max="212" width="22.42578125" bestFit="1" customWidth="1"/>
    <col min="213" max="213" width="22.42578125" customWidth="1"/>
    <col min="214" max="214" width="22.42578125" bestFit="1" customWidth="1"/>
    <col min="215" max="215" width="22.42578125" customWidth="1"/>
    <col min="216" max="216" width="22.42578125" bestFit="1" customWidth="1"/>
    <col min="217" max="217" width="22.42578125" customWidth="1"/>
    <col min="218" max="218" width="22.42578125" bestFit="1" customWidth="1"/>
    <col min="219" max="219" width="22.42578125" customWidth="1"/>
    <col min="220" max="220" width="22.42578125" bestFit="1" customWidth="1"/>
    <col min="221" max="221" width="22.42578125" customWidth="1"/>
    <col min="222" max="222" width="22.42578125" bestFit="1" customWidth="1"/>
    <col min="223" max="223" width="22.42578125" customWidth="1"/>
    <col min="224" max="224" width="22.42578125" bestFit="1" customWidth="1"/>
    <col min="225" max="225" width="22.42578125" customWidth="1"/>
    <col min="226" max="226" width="27.140625" bestFit="1" customWidth="1"/>
    <col min="227" max="227" width="17.85546875" customWidth="1"/>
    <col min="228" max="228" width="13.7109375" bestFit="1" customWidth="1"/>
    <col min="229" max="229" width="9.140625" customWidth="1"/>
    <col min="230" max="230" width="13.7109375" bestFit="1" customWidth="1"/>
    <col min="231" max="231" width="9.140625" customWidth="1"/>
    <col min="232" max="232" width="13.7109375" bestFit="1" customWidth="1"/>
    <col min="233" max="233" width="9.140625" customWidth="1"/>
    <col min="234" max="234" width="13.7109375" bestFit="1" customWidth="1"/>
    <col min="235" max="235" width="10.140625" customWidth="1"/>
  </cols>
  <sheetData>
    <row r="2" spans="1:97" x14ac:dyDescent="0.2">
      <c r="C2" s="3"/>
      <c r="D2" s="3"/>
    </row>
    <row r="3" spans="1:97" ht="14.25" x14ac:dyDescent="0.2">
      <c r="A3" s="94"/>
      <c r="B3" s="95"/>
      <c r="C3" s="95"/>
      <c r="D3" s="3"/>
    </row>
    <row r="4" spans="1:97" x14ac:dyDescent="0.2">
      <c r="A4" s="120" t="s">
        <v>106</v>
      </c>
      <c r="B4" s="121"/>
      <c r="C4" s="97" t="s">
        <v>9</v>
      </c>
      <c r="D4" s="98"/>
      <c r="E4" s="98"/>
      <c r="F4" s="99"/>
    </row>
    <row r="5" spans="1:97" x14ac:dyDescent="0.2">
      <c r="A5" s="97" t="s">
        <v>78</v>
      </c>
      <c r="B5" s="97" t="s">
        <v>3</v>
      </c>
      <c r="C5" s="96" t="s">
        <v>26</v>
      </c>
      <c r="D5" s="100" t="s">
        <v>27</v>
      </c>
      <c r="E5" s="100" t="s">
        <v>28</v>
      </c>
      <c r="F5" s="114" t="s">
        <v>30</v>
      </c>
    </row>
    <row r="6" spans="1:97" x14ac:dyDescent="0.2">
      <c r="A6" s="96" t="s">
        <v>61</v>
      </c>
      <c r="B6" s="96" t="s">
        <v>33</v>
      </c>
      <c r="C6" s="103">
        <v>526200</v>
      </c>
      <c r="D6" s="104">
        <v>626200</v>
      </c>
      <c r="E6" s="104">
        <v>1187000</v>
      </c>
      <c r="F6" s="117">
        <v>2339400</v>
      </c>
    </row>
    <row r="7" spans="1:97" x14ac:dyDescent="0.2">
      <c r="A7" s="115"/>
      <c r="B7" s="101" t="s">
        <v>35</v>
      </c>
      <c r="C7" s="106">
        <v>194000</v>
      </c>
      <c r="D7" s="6">
        <v>224000</v>
      </c>
      <c r="E7" s="6">
        <v>536000</v>
      </c>
      <c r="F7" s="118">
        <v>954000</v>
      </c>
    </row>
    <row r="8" spans="1:97" x14ac:dyDescent="0.2">
      <c r="A8" s="115"/>
      <c r="B8" s="101" t="s">
        <v>36</v>
      </c>
      <c r="C8" s="106">
        <v>88500</v>
      </c>
      <c r="D8" s="6">
        <v>177000</v>
      </c>
      <c r="E8" s="6">
        <v>354000</v>
      </c>
      <c r="F8" s="118">
        <v>619500</v>
      </c>
    </row>
    <row r="9" spans="1:97" x14ac:dyDescent="0.2">
      <c r="A9" s="115"/>
      <c r="B9" s="101" t="s">
        <v>71</v>
      </c>
      <c r="C9" s="106">
        <v>70500</v>
      </c>
      <c r="D9" s="6">
        <v>87400</v>
      </c>
      <c r="E9" s="6">
        <v>0</v>
      </c>
      <c r="F9" s="118">
        <v>157900</v>
      </c>
    </row>
    <row r="10" spans="1:97" x14ac:dyDescent="0.2">
      <c r="A10" s="115"/>
      <c r="B10" s="101" t="s">
        <v>73</v>
      </c>
      <c r="C10" s="106">
        <v>70500</v>
      </c>
      <c r="D10" s="6">
        <v>87400</v>
      </c>
      <c r="E10" s="6">
        <v>0</v>
      </c>
      <c r="F10" s="118">
        <v>157900</v>
      </c>
    </row>
    <row r="11" spans="1:97" x14ac:dyDescent="0.2">
      <c r="A11" s="96" t="s">
        <v>60</v>
      </c>
      <c r="B11" s="96" t="s">
        <v>33</v>
      </c>
      <c r="C11" s="103">
        <v>0</v>
      </c>
      <c r="D11" s="104">
        <v>0</v>
      </c>
      <c r="E11" s="104">
        <v>250000</v>
      </c>
      <c r="F11" s="117">
        <v>250000</v>
      </c>
    </row>
    <row r="12" spans="1:97" x14ac:dyDescent="0.2">
      <c r="A12" s="115"/>
      <c r="B12" s="101" t="s">
        <v>35</v>
      </c>
      <c r="C12" s="106">
        <v>0</v>
      </c>
      <c r="D12" s="6">
        <v>0</v>
      </c>
      <c r="E12" s="6">
        <v>700000</v>
      </c>
      <c r="F12" s="118">
        <v>700000</v>
      </c>
    </row>
    <row r="13" spans="1:97" s="4" customFormat="1" x14ac:dyDescent="0.2">
      <c r="A13" s="102" t="s">
        <v>30</v>
      </c>
      <c r="B13" s="116"/>
      <c r="C13" s="107">
        <v>949700</v>
      </c>
      <c r="D13" s="108">
        <v>1202000</v>
      </c>
      <c r="E13" s="108">
        <v>3027000</v>
      </c>
      <c r="F13" s="119">
        <v>5178700</v>
      </c>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row>
    <row r="29" spans="1:60" s="5" customFormat="1" x14ac:dyDescent="0.2">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row>
  </sheetData>
  <mergeCells count="1">
    <mergeCell ref="A3:C3"/>
  </mergeCells>
  <pageMargins left="0.78740157499999996" right="0.78740157499999996" top="0.984251969" bottom="0.984251969" header="0.4921259845" footer="0.4921259845"/>
  <pageSetup paperSize="9" scale="90" fitToHeight="8"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indexed="10"/>
    <pageSetUpPr fitToPage="1"/>
  </sheetPr>
  <dimension ref="A2:CL68"/>
  <sheetViews>
    <sheetView workbookViewId="0">
      <selection activeCell="D7" sqref="D7"/>
    </sheetView>
  </sheetViews>
  <sheetFormatPr baseColWidth="10" defaultRowHeight="12.75" x14ac:dyDescent="0.2"/>
  <cols>
    <col min="1" max="1" width="11.85546875" customWidth="1"/>
    <col min="2" max="9" width="12.7109375" customWidth="1"/>
    <col min="10" max="10" width="11.42578125" customWidth="1"/>
    <col min="11" max="11" width="10.42578125" customWidth="1"/>
    <col min="12" max="13" width="11.5703125" customWidth="1"/>
    <col min="14" max="14" width="11.7109375" customWidth="1"/>
    <col min="15" max="113" width="19.5703125" customWidth="1"/>
    <col min="114" max="114" width="10.140625" customWidth="1"/>
    <col min="115" max="115" width="22.42578125" bestFit="1" customWidth="1"/>
    <col min="116" max="116" width="22.42578125" customWidth="1"/>
    <col min="117" max="117" width="22.42578125" bestFit="1" customWidth="1"/>
    <col min="118" max="118" width="22.42578125" customWidth="1"/>
    <col min="119" max="119" width="22.42578125" bestFit="1" customWidth="1"/>
    <col min="120" max="120" width="22.42578125" customWidth="1"/>
    <col min="121" max="121" width="22.42578125" bestFit="1" customWidth="1"/>
    <col min="122" max="122" width="22.42578125" customWidth="1"/>
    <col min="123" max="123" width="22.42578125" bestFit="1" customWidth="1"/>
    <col min="124" max="124" width="22.42578125" customWidth="1"/>
    <col min="125" max="125" width="22.42578125" bestFit="1" customWidth="1"/>
    <col min="126" max="126" width="22.42578125" customWidth="1"/>
    <col min="127" max="127" width="22.42578125" bestFit="1" customWidth="1"/>
    <col min="128" max="128" width="22.42578125" customWidth="1"/>
    <col min="129" max="129" width="22.42578125" bestFit="1" customWidth="1"/>
    <col min="130" max="130" width="22.42578125" customWidth="1"/>
    <col min="131" max="131" width="22.42578125" bestFit="1" customWidth="1"/>
    <col min="132" max="132" width="22.42578125" customWidth="1"/>
    <col min="133" max="133" width="22.42578125" bestFit="1" customWidth="1"/>
    <col min="134" max="134" width="22.42578125" customWidth="1"/>
    <col min="135" max="135" width="22.42578125" bestFit="1" customWidth="1"/>
    <col min="136" max="136" width="22.42578125" customWidth="1"/>
    <col min="137" max="137" width="22.42578125" bestFit="1" customWidth="1"/>
    <col min="138" max="138" width="22.42578125" customWidth="1"/>
    <col min="139" max="139" width="22.42578125" bestFit="1" customWidth="1"/>
    <col min="140" max="140" width="22.42578125" customWidth="1"/>
    <col min="141" max="141" width="22.42578125" bestFit="1" customWidth="1"/>
    <col min="142" max="142" width="22.42578125" customWidth="1"/>
    <col min="143" max="143" width="22.42578125" bestFit="1" customWidth="1"/>
    <col min="144" max="144" width="22.42578125" customWidth="1"/>
    <col min="145" max="145" width="22.42578125" bestFit="1" customWidth="1"/>
    <col min="146" max="146" width="22.42578125" customWidth="1"/>
    <col min="147" max="147" width="22.42578125" bestFit="1" customWidth="1"/>
    <col min="148" max="148" width="22.42578125" customWidth="1"/>
    <col min="149" max="149" width="22.42578125" bestFit="1" customWidth="1"/>
    <col min="150" max="150" width="22.42578125" customWidth="1"/>
    <col min="151" max="151" width="22.42578125" bestFit="1" customWidth="1"/>
    <col min="152" max="152" width="22.42578125" customWidth="1"/>
    <col min="153" max="153" width="22.42578125" bestFit="1" customWidth="1"/>
    <col min="154" max="154" width="22.42578125" customWidth="1"/>
    <col min="155" max="155" width="22.42578125" bestFit="1" customWidth="1"/>
    <col min="156" max="157" width="22.42578125" customWidth="1"/>
    <col min="158" max="158" width="22.42578125" bestFit="1" customWidth="1"/>
    <col min="159" max="159" width="22.42578125" customWidth="1"/>
    <col min="160" max="160" width="22.42578125" bestFit="1" customWidth="1"/>
    <col min="161" max="161" width="22.42578125" customWidth="1"/>
    <col min="162" max="162" width="22.42578125" bestFit="1" customWidth="1"/>
    <col min="163" max="163" width="22.42578125" customWidth="1"/>
    <col min="164" max="164" width="22.42578125" bestFit="1" customWidth="1"/>
    <col min="165" max="165" width="22.42578125" customWidth="1"/>
    <col min="166" max="166" width="22.42578125" bestFit="1" customWidth="1"/>
    <col min="167" max="167" width="22.42578125" customWidth="1"/>
    <col min="168" max="168" width="22.42578125" bestFit="1" customWidth="1"/>
    <col min="169" max="169" width="22.42578125" customWidth="1"/>
    <col min="170" max="170" width="22.42578125" bestFit="1" customWidth="1"/>
    <col min="171" max="171" width="22.42578125" customWidth="1"/>
    <col min="172" max="172" width="22.42578125" bestFit="1" customWidth="1"/>
    <col min="173" max="173" width="22.42578125" customWidth="1"/>
    <col min="174" max="174" width="22.42578125" bestFit="1" customWidth="1"/>
    <col min="175" max="175" width="22.42578125" customWidth="1"/>
    <col min="176" max="176" width="22.42578125" bestFit="1" customWidth="1"/>
    <col min="177" max="177" width="22.42578125" customWidth="1"/>
    <col min="178" max="178" width="22.42578125" bestFit="1" customWidth="1"/>
    <col min="179" max="179" width="22.42578125" customWidth="1"/>
    <col min="180" max="180" width="22.42578125" bestFit="1" customWidth="1"/>
    <col min="181" max="181" width="22.42578125" customWidth="1"/>
    <col min="182" max="182" width="22.42578125" bestFit="1" customWidth="1"/>
    <col min="183" max="183" width="22.42578125" customWidth="1"/>
    <col min="184" max="184" width="22.42578125" bestFit="1" customWidth="1"/>
    <col min="185" max="185" width="22.42578125" customWidth="1"/>
    <col min="186" max="186" width="22.42578125" bestFit="1" customWidth="1"/>
    <col min="187" max="187" width="22.42578125" customWidth="1"/>
    <col min="188" max="188" width="22.42578125" bestFit="1" customWidth="1"/>
    <col min="189" max="189" width="22.42578125" customWidth="1"/>
    <col min="190" max="190" width="22.42578125" bestFit="1" customWidth="1"/>
    <col min="191" max="191" width="22.42578125" customWidth="1"/>
    <col min="192" max="192" width="22.42578125" bestFit="1" customWidth="1"/>
    <col min="193" max="193" width="22.42578125" customWidth="1"/>
    <col min="194" max="194" width="22.42578125" bestFit="1" customWidth="1"/>
    <col min="195" max="195" width="22.42578125" customWidth="1"/>
    <col min="196" max="196" width="22.42578125" bestFit="1" customWidth="1"/>
    <col min="197" max="197" width="22.42578125" customWidth="1"/>
    <col min="198" max="198" width="22.42578125" bestFit="1" customWidth="1"/>
    <col min="199" max="199" width="22.42578125" customWidth="1"/>
    <col min="200" max="200" width="22.42578125" bestFit="1" customWidth="1"/>
    <col min="201" max="201" width="22.42578125" customWidth="1"/>
    <col min="202" max="202" width="22.42578125" bestFit="1" customWidth="1"/>
    <col min="203" max="203" width="22.42578125" customWidth="1"/>
    <col min="204" max="204" width="22.42578125" bestFit="1" customWidth="1"/>
    <col min="205" max="205" width="22.42578125" customWidth="1"/>
    <col min="206" max="206" width="22.42578125" bestFit="1" customWidth="1"/>
    <col min="207" max="207" width="22.42578125" customWidth="1"/>
    <col min="208" max="208" width="22.42578125" bestFit="1" customWidth="1"/>
    <col min="209" max="209" width="22.42578125" customWidth="1"/>
    <col min="210" max="210" width="22.42578125" bestFit="1" customWidth="1"/>
    <col min="211" max="211" width="22.42578125" customWidth="1"/>
    <col min="212" max="212" width="22.42578125" bestFit="1" customWidth="1"/>
    <col min="213" max="213" width="22.42578125" customWidth="1"/>
    <col min="214" max="214" width="22.42578125" bestFit="1" customWidth="1"/>
    <col min="215" max="215" width="22.42578125" customWidth="1"/>
    <col min="216" max="216" width="22.42578125" bestFit="1" customWidth="1"/>
    <col min="217" max="217" width="22.42578125" customWidth="1"/>
    <col min="218" max="218" width="22.42578125" bestFit="1" customWidth="1"/>
    <col min="219" max="219" width="22.42578125" customWidth="1"/>
    <col min="220" max="220" width="22.42578125" bestFit="1" customWidth="1"/>
    <col min="221" max="221" width="22.42578125" customWidth="1"/>
    <col min="222" max="222" width="22.42578125" bestFit="1" customWidth="1"/>
    <col min="223" max="223" width="22.42578125" customWidth="1"/>
    <col min="224" max="224" width="22.42578125" bestFit="1" customWidth="1"/>
    <col min="225" max="225" width="22.42578125" customWidth="1"/>
    <col min="226" max="226" width="27.140625" bestFit="1" customWidth="1"/>
    <col min="227" max="227" width="17.85546875" customWidth="1"/>
    <col min="228" max="228" width="13.7109375" bestFit="1" customWidth="1"/>
    <col min="229" max="229" width="9.140625" customWidth="1"/>
    <col min="230" max="230" width="13.7109375" bestFit="1" customWidth="1"/>
    <col min="231" max="231" width="9.140625" customWidth="1"/>
    <col min="232" max="232" width="13.7109375" bestFit="1" customWidth="1"/>
    <col min="233" max="233" width="9.140625" customWidth="1"/>
    <col min="234" max="234" width="13.7109375" bestFit="1" customWidth="1"/>
    <col min="235" max="235" width="10.140625" customWidth="1"/>
  </cols>
  <sheetData>
    <row r="2" spans="1:90" x14ac:dyDescent="0.2">
      <c r="C2" s="3"/>
      <c r="D2" s="3"/>
    </row>
    <row r="3" spans="1:90" ht="14.25" x14ac:dyDescent="0.2">
      <c r="A3" s="94"/>
      <c r="B3" s="95"/>
      <c r="C3" s="95"/>
      <c r="D3" s="3"/>
    </row>
    <row r="4" spans="1:90" x14ac:dyDescent="0.2">
      <c r="A4" s="110"/>
      <c r="B4" s="97" t="s">
        <v>0</v>
      </c>
      <c r="C4" s="98"/>
      <c r="D4" s="98"/>
      <c r="E4" s="98"/>
      <c r="F4" s="98"/>
      <c r="G4" s="98"/>
      <c r="H4" s="98"/>
      <c r="I4" s="99"/>
    </row>
    <row r="5" spans="1:90" ht="48.75" customHeight="1" x14ac:dyDescent="0.2">
      <c r="A5" s="13" t="s">
        <v>3</v>
      </c>
      <c r="B5" s="110" t="s">
        <v>99</v>
      </c>
      <c r="C5" s="112" t="s">
        <v>100</v>
      </c>
      <c r="D5" s="112" t="s">
        <v>101</v>
      </c>
      <c r="E5" s="112" t="s">
        <v>102</v>
      </c>
      <c r="F5" s="112" t="s">
        <v>103</v>
      </c>
      <c r="G5" s="112" t="s">
        <v>104</v>
      </c>
      <c r="H5" s="112" t="s">
        <v>105</v>
      </c>
      <c r="I5" s="113" t="s">
        <v>106</v>
      </c>
    </row>
    <row r="6" spans="1:90" x14ac:dyDescent="0.2">
      <c r="A6" s="12" t="s">
        <v>33</v>
      </c>
      <c r="B6" s="14">
        <v>1272000</v>
      </c>
      <c r="C6" s="14">
        <v>254400</v>
      </c>
      <c r="D6" s="14">
        <v>525000</v>
      </c>
      <c r="E6" s="14">
        <v>200000</v>
      </c>
      <c r="F6" s="14">
        <v>88000</v>
      </c>
      <c r="G6" s="14">
        <v>2339400</v>
      </c>
      <c r="H6" s="14">
        <v>250000</v>
      </c>
      <c r="I6" s="14">
        <v>2589400</v>
      </c>
    </row>
    <row r="7" spans="1:90" x14ac:dyDescent="0.2">
      <c r="A7" s="12" t="s">
        <v>35</v>
      </c>
      <c r="B7" s="14">
        <v>570000</v>
      </c>
      <c r="C7" s="14">
        <v>114000</v>
      </c>
      <c r="D7" s="14">
        <v>180000</v>
      </c>
      <c r="E7" s="14">
        <v>40000</v>
      </c>
      <c r="F7" s="14">
        <v>50000</v>
      </c>
      <c r="G7" s="14">
        <v>954000</v>
      </c>
      <c r="H7" s="14">
        <v>700000</v>
      </c>
      <c r="I7" s="14">
        <v>1654000</v>
      </c>
    </row>
    <row r="8" spans="1:90" x14ac:dyDescent="0.2">
      <c r="A8" s="12" t="s">
        <v>36</v>
      </c>
      <c r="B8" s="14">
        <v>472500</v>
      </c>
      <c r="C8" s="14">
        <v>94500</v>
      </c>
      <c r="D8" s="14">
        <v>17500</v>
      </c>
      <c r="E8" s="14">
        <v>17500</v>
      </c>
      <c r="F8" s="14">
        <v>17500</v>
      </c>
      <c r="G8" s="14">
        <v>619500</v>
      </c>
      <c r="H8" s="14">
        <v>0</v>
      </c>
      <c r="I8" s="14">
        <v>619500</v>
      </c>
    </row>
    <row r="9" spans="1:90" x14ac:dyDescent="0.2">
      <c r="A9" s="12" t="s">
        <v>71</v>
      </c>
      <c r="B9" s="14">
        <v>124500</v>
      </c>
      <c r="C9" s="14">
        <v>24900</v>
      </c>
      <c r="D9" s="14">
        <v>2500</v>
      </c>
      <c r="E9" s="14">
        <v>2500</v>
      </c>
      <c r="F9" s="14">
        <v>3500</v>
      </c>
      <c r="G9" s="14">
        <v>157900</v>
      </c>
      <c r="H9" s="14">
        <v>0</v>
      </c>
      <c r="I9" s="14">
        <v>157900</v>
      </c>
    </row>
    <row r="10" spans="1:90" x14ac:dyDescent="0.2">
      <c r="A10" s="12" t="s">
        <v>73</v>
      </c>
      <c r="B10" s="14">
        <v>124500</v>
      </c>
      <c r="C10" s="14">
        <v>24900</v>
      </c>
      <c r="D10" s="14">
        <v>2500</v>
      </c>
      <c r="E10" s="14">
        <v>2500</v>
      </c>
      <c r="F10" s="14">
        <v>3500</v>
      </c>
      <c r="G10" s="14">
        <v>157900</v>
      </c>
      <c r="H10" s="14">
        <v>0</v>
      </c>
      <c r="I10" s="14">
        <v>157900</v>
      </c>
    </row>
    <row r="11" spans="1:90" x14ac:dyDescent="0.2">
      <c r="A11" s="93" t="s">
        <v>30</v>
      </c>
      <c r="B11" s="92">
        <v>2563500</v>
      </c>
      <c r="C11" s="92">
        <v>512700</v>
      </c>
      <c r="D11" s="92">
        <v>727500</v>
      </c>
      <c r="E11" s="92">
        <v>262500</v>
      </c>
      <c r="F11" s="92">
        <v>162500</v>
      </c>
      <c r="G11" s="92">
        <v>4228700</v>
      </c>
      <c r="H11" s="92">
        <v>950000</v>
      </c>
      <c r="I11" s="92">
        <v>5178700</v>
      </c>
    </row>
    <row r="13" spans="1:90" s="4" customFormat="1" x14ac:dyDescent="0.2">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row>
    <row r="36" spans="1:60" s="5" customFormat="1" x14ac:dyDescent="0.2">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row>
    <row r="37" spans="1:60" x14ac:dyDescent="0.2">
      <c r="A37" s="4"/>
    </row>
    <row r="38" spans="1:60" x14ac:dyDescent="0.2">
      <c r="A38" s="4"/>
    </row>
    <row r="42" spans="1:60" x14ac:dyDescent="0.2">
      <c r="A42" s="4"/>
    </row>
    <row r="44" spans="1:60" x14ac:dyDescent="0.2">
      <c r="A44" s="4"/>
    </row>
    <row r="45" spans="1:60" x14ac:dyDescent="0.2">
      <c r="A45" s="4"/>
    </row>
    <row r="47" spans="1:60" x14ac:dyDescent="0.2">
      <c r="A47" s="11"/>
    </row>
    <row r="49" spans="1:1" x14ac:dyDescent="0.2">
      <c r="A49" s="7"/>
    </row>
    <row r="54" spans="1:1" x14ac:dyDescent="0.2">
      <c r="A54" s="7"/>
    </row>
    <row r="58" spans="1:1" x14ac:dyDescent="0.2">
      <c r="A58" s="4"/>
    </row>
    <row r="63" spans="1:1" x14ac:dyDescent="0.2">
      <c r="A63" s="11"/>
    </row>
    <row r="68" spans="1:1" x14ac:dyDescent="0.2">
      <c r="A68" s="7"/>
    </row>
  </sheetData>
  <mergeCells count="1">
    <mergeCell ref="A3:C3"/>
  </mergeCells>
  <phoneticPr fontId="2" type="noConversion"/>
  <conditionalFormatting sqref="B36:E125">
    <cfRule type="expression" dxfId="168" priority="3" stopIfTrue="1">
      <formula>$G36&gt;1</formula>
    </cfRule>
  </conditionalFormatting>
  <pageMargins left="0.78740157499999996" right="0.78740157499999996" top="0.984251969" bottom="0.984251969" header="0.4921259845" footer="0.4921259845"/>
  <pageSetup paperSize="9" fitToHeight="8"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indexed="10"/>
    <pageSetUpPr fitToPage="1"/>
  </sheetPr>
  <dimension ref="A2:CS71"/>
  <sheetViews>
    <sheetView workbookViewId="0">
      <selection activeCell="E9" sqref="E9"/>
    </sheetView>
  </sheetViews>
  <sheetFormatPr baseColWidth="10" defaultRowHeight="12.75" x14ac:dyDescent="0.2"/>
  <cols>
    <col min="1" max="1" width="11.85546875" customWidth="1"/>
    <col min="2" max="2" width="10.28515625" customWidth="1"/>
    <col min="3" max="10" width="12.7109375" customWidth="1"/>
    <col min="11" max="113" width="19.5703125" customWidth="1"/>
    <col min="114" max="114" width="10.140625" customWidth="1"/>
    <col min="115" max="115" width="22.42578125" bestFit="1" customWidth="1"/>
    <col min="116" max="116" width="22.42578125" customWidth="1"/>
    <col min="117" max="117" width="22.42578125" bestFit="1" customWidth="1"/>
    <col min="118" max="118" width="22.42578125" customWidth="1"/>
    <col min="119" max="119" width="22.42578125" bestFit="1" customWidth="1"/>
    <col min="120" max="120" width="22.42578125" customWidth="1"/>
    <col min="121" max="121" width="22.42578125" bestFit="1" customWidth="1"/>
    <col min="122" max="122" width="22.42578125" customWidth="1"/>
    <col min="123" max="123" width="22.42578125" bestFit="1" customWidth="1"/>
    <col min="124" max="124" width="22.42578125" customWidth="1"/>
    <col min="125" max="125" width="22.42578125" bestFit="1" customWidth="1"/>
    <col min="126" max="126" width="22.42578125" customWidth="1"/>
    <col min="127" max="127" width="22.42578125" bestFit="1" customWidth="1"/>
    <col min="128" max="128" width="22.42578125" customWidth="1"/>
    <col min="129" max="129" width="22.42578125" bestFit="1" customWidth="1"/>
    <col min="130" max="130" width="22.42578125" customWidth="1"/>
    <col min="131" max="131" width="22.42578125" bestFit="1" customWidth="1"/>
    <col min="132" max="132" width="22.42578125" customWidth="1"/>
    <col min="133" max="133" width="22.42578125" bestFit="1" customWidth="1"/>
    <col min="134" max="134" width="22.42578125" customWidth="1"/>
    <col min="135" max="135" width="22.42578125" bestFit="1" customWidth="1"/>
    <col min="136" max="136" width="22.42578125" customWidth="1"/>
    <col min="137" max="137" width="22.42578125" bestFit="1" customWidth="1"/>
    <col min="138" max="138" width="22.42578125" customWidth="1"/>
    <col min="139" max="139" width="22.42578125" bestFit="1" customWidth="1"/>
    <col min="140" max="140" width="22.42578125" customWidth="1"/>
    <col min="141" max="141" width="22.42578125" bestFit="1" customWidth="1"/>
    <col min="142" max="142" width="22.42578125" customWidth="1"/>
    <col min="143" max="143" width="22.42578125" bestFit="1" customWidth="1"/>
    <col min="144" max="144" width="22.42578125" customWidth="1"/>
    <col min="145" max="145" width="22.42578125" bestFit="1" customWidth="1"/>
    <col min="146" max="146" width="22.42578125" customWidth="1"/>
    <col min="147" max="147" width="22.42578125" bestFit="1" customWidth="1"/>
    <col min="148" max="148" width="22.42578125" customWidth="1"/>
    <col min="149" max="149" width="22.42578125" bestFit="1" customWidth="1"/>
    <col min="150" max="150" width="22.42578125" customWidth="1"/>
    <col min="151" max="151" width="22.42578125" bestFit="1" customWidth="1"/>
    <col min="152" max="152" width="22.42578125" customWidth="1"/>
    <col min="153" max="153" width="22.42578125" bestFit="1" customWidth="1"/>
    <col min="154" max="154" width="22.42578125" customWidth="1"/>
    <col min="155" max="155" width="22.42578125" bestFit="1" customWidth="1"/>
    <col min="156" max="157" width="22.42578125" customWidth="1"/>
    <col min="158" max="158" width="22.42578125" bestFit="1" customWidth="1"/>
    <col min="159" max="159" width="22.42578125" customWidth="1"/>
    <col min="160" max="160" width="22.42578125" bestFit="1" customWidth="1"/>
    <col min="161" max="161" width="22.42578125" customWidth="1"/>
    <col min="162" max="162" width="22.42578125" bestFit="1" customWidth="1"/>
    <col min="163" max="163" width="22.42578125" customWidth="1"/>
    <col min="164" max="164" width="22.42578125" bestFit="1" customWidth="1"/>
    <col min="165" max="165" width="22.42578125" customWidth="1"/>
    <col min="166" max="166" width="22.42578125" bestFit="1" customWidth="1"/>
    <col min="167" max="167" width="22.42578125" customWidth="1"/>
    <col min="168" max="168" width="22.42578125" bestFit="1" customWidth="1"/>
    <col min="169" max="169" width="22.42578125" customWidth="1"/>
    <col min="170" max="170" width="22.42578125" bestFit="1" customWidth="1"/>
    <col min="171" max="171" width="22.42578125" customWidth="1"/>
    <col min="172" max="172" width="22.42578125" bestFit="1" customWidth="1"/>
    <col min="173" max="173" width="22.42578125" customWidth="1"/>
    <col min="174" max="174" width="22.42578125" bestFit="1" customWidth="1"/>
    <col min="175" max="175" width="22.42578125" customWidth="1"/>
    <col min="176" max="176" width="22.42578125" bestFit="1" customWidth="1"/>
    <col min="177" max="177" width="22.42578125" customWidth="1"/>
    <col min="178" max="178" width="22.42578125" bestFit="1" customWidth="1"/>
    <col min="179" max="179" width="22.42578125" customWidth="1"/>
    <col min="180" max="180" width="22.42578125" bestFit="1" customWidth="1"/>
    <col min="181" max="181" width="22.42578125" customWidth="1"/>
    <col min="182" max="182" width="22.42578125" bestFit="1" customWidth="1"/>
    <col min="183" max="183" width="22.42578125" customWidth="1"/>
    <col min="184" max="184" width="22.42578125" bestFit="1" customWidth="1"/>
    <col min="185" max="185" width="22.42578125" customWidth="1"/>
    <col min="186" max="186" width="22.42578125" bestFit="1" customWidth="1"/>
    <col min="187" max="187" width="22.42578125" customWidth="1"/>
    <col min="188" max="188" width="22.42578125" bestFit="1" customWidth="1"/>
    <col min="189" max="189" width="22.42578125" customWidth="1"/>
    <col min="190" max="190" width="22.42578125" bestFit="1" customWidth="1"/>
    <col min="191" max="191" width="22.42578125" customWidth="1"/>
    <col min="192" max="192" width="22.42578125" bestFit="1" customWidth="1"/>
    <col min="193" max="193" width="22.42578125" customWidth="1"/>
    <col min="194" max="194" width="22.42578125" bestFit="1" customWidth="1"/>
    <col min="195" max="195" width="22.42578125" customWidth="1"/>
    <col min="196" max="196" width="22.42578125" bestFit="1" customWidth="1"/>
    <col min="197" max="197" width="22.42578125" customWidth="1"/>
    <col min="198" max="198" width="22.42578125" bestFit="1" customWidth="1"/>
    <col min="199" max="199" width="22.42578125" customWidth="1"/>
    <col min="200" max="200" width="22.42578125" bestFit="1" customWidth="1"/>
    <col min="201" max="201" width="22.42578125" customWidth="1"/>
    <col min="202" max="202" width="22.42578125" bestFit="1" customWidth="1"/>
    <col min="203" max="203" width="22.42578125" customWidth="1"/>
    <col min="204" max="204" width="22.42578125" bestFit="1" customWidth="1"/>
    <col min="205" max="205" width="22.42578125" customWidth="1"/>
    <col min="206" max="206" width="22.42578125" bestFit="1" customWidth="1"/>
    <col min="207" max="207" width="22.42578125" customWidth="1"/>
    <col min="208" max="208" width="22.42578125" bestFit="1" customWidth="1"/>
    <col min="209" max="209" width="22.42578125" customWidth="1"/>
    <col min="210" max="210" width="22.42578125" bestFit="1" customWidth="1"/>
    <col min="211" max="211" width="22.42578125" customWidth="1"/>
    <col min="212" max="212" width="22.42578125" bestFit="1" customWidth="1"/>
    <col min="213" max="213" width="22.42578125" customWidth="1"/>
    <col min="214" max="214" width="22.42578125" bestFit="1" customWidth="1"/>
    <col min="215" max="215" width="22.42578125" customWidth="1"/>
    <col min="216" max="216" width="22.42578125" bestFit="1" customWidth="1"/>
    <col min="217" max="217" width="22.42578125" customWidth="1"/>
    <col min="218" max="218" width="22.42578125" bestFit="1" customWidth="1"/>
    <col min="219" max="219" width="22.42578125" customWidth="1"/>
    <col min="220" max="220" width="22.42578125" bestFit="1" customWidth="1"/>
    <col min="221" max="221" width="22.42578125" customWidth="1"/>
    <col min="222" max="222" width="22.42578125" bestFit="1" customWidth="1"/>
    <col min="223" max="223" width="22.42578125" customWidth="1"/>
    <col min="224" max="224" width="22.42578125" bestFit="1" customWidth="1"/>
    <col min="225" max="225" width="22.42578125" customWidth="1"/>
    <col min="226" max="226" width="27.140625" bestFit="1" customWidth="1"/>
    <col min="227" max="227" width="17.85546875" customWidth="1"/>
    <col min="228" max="228" width="13.7109375" bestFit="1" customWidth="1"/>
    <col min="229" max="229" width="9.140625" customWidth="1"/>
    <col min="230" max="230" width="13.7109375" bestFit="1" customWidth="1"/>
    <col min="231" max="231" width="9.140625" customWidth="1"/>
    <col min="232" max="232" width="13.7109375" bestFit="1" customWidth="1"/>
    <col min="233" max="233" width="9.140625" customWidth="1"/>
    <col min="234" max="234" width="13.7109375" bestFit="1" customWidth="1"/>
    <col min="235" max="235" width="10.140625" customWidth="1"/>
  </cols>
  <sheetData>
    <row r="2" spans="1:97" x14ac:dyDescent="0.2">
      <c r="C2" s="3"/>
      <c r="D2" s="3"/>
    </row>
    <row r="3" spans="1:97" ht="14.25" x14ac:dyDescent="0.2">
      <c r="A3" s="94"/>
      <c r="B3" s="95"/>
      <c r="C3" s="95"/>
      <c r="D3" s="3"/>
    </row>
    <row r="4" spans="1:97" x14ac:dyDescent="0.2">
      <c r="A4" s="110"/>
      <c r="B4" s="121"/>
      <c r="C4" s="97" t="s">
        <v>0</v>
      </c>
      <c r="D4" s="98"/>
      <c r="E4" s="98"/>
      <c r="F4" s="98"/>
      <c r="G4" s="98"/>
      <c r="H4" s="98"/>
      <c r="I4" s="98"/>
      <c r="J4" s="99"/>
    </row>
    <row r="5" spans="1:97" ht="47.25" customHeight="1" x14ac:dyDescent="0.2">
      <c r="A5" s="97" t="s">
        <v>1</v>
      </c>
      <c r="B5" s="97" t="s">
        <v>15</v>
      </c>
      <c r="C5" s="110" t="s">
        <v>99</v>
      </c>
      <c r="D5" s="112" t="s">
        <v>100</v>
      </c>
      <c r="E5" s="112" t="s">
        <v>101</v>
      </c>
      <c r="F5" s="112" t="s">
        <v>102</v>
      </c>
      <c r="G5" s="112" t="s">
        <v>103</v>
      </c>
      <c r="H5" s="112" t="s">
        <v>104</v>
      </c>
      <c r="I5" s="112" t="s">
        <v>105</v>
      </c>
      <c r="J5" s="113" t="s">
        <v>106</v>
      </c>
    </row>
    <row r="6" spans="1:97" x14ac:dyDescent="0.2">
      <c r="A6" s="96" t="s">
        <v>31</v>
      </c>
      <c r="B6" s="96" t="s">
        <v>54</v>
      </c>
      <c r="C6" s="103">
        <v>24000</v>
      </c>
      <c r="D6" s="104">
        <v>4800</v>
      </c>
      <c r="E6" s="104">
        <v>0</v>
      </c>
      <c r="F6" s="104">
        <v>0</v>
      </c>
      <c r="G6" s="104">
        <v>3000</v>
      </c>
      <c r="H6" s="104">
        <v>31800</v>
      </c>
      <c r="I6" s="104">
        <v>0</v>
      </c>
      <c r="J6" s="105">
        <v>31800</v>
      </c>
    </row>
    <row r="7" spans="1:97" x14ac:dyDescent="0.2">
      <c r="A7" s="96" t="s">
        <v>39</v>
      </c>
      <c r="B7" s="96" t="s">
        <v>54</v>
      </c>
      <c r="C7" s="103">
        <v>1063500</v>
      </c>
      <c r="D7" s="104">
        <v>212700</v>
      </c>
      <c r="E7" s="104">
        <v>207500</v>
      </c>
      <c r="F7" s="104">
        <v>102500</v>
      </c>
      <c r="G7" s="104">
        <v>59500</v>
      </c>
      <c r="H7" s="104">
        <v>1645700</v>
      </c>
      <c r="I7" s="104">
        <v>0</v>
      </c>
      <c r="J7" s="105">
        <v>1645700</v>
      </c>
    </row>
    <row r="8" spans="1:97" x14ac:dyDescent="0.2">
      <c r="A8" s="96" t="s">
        <v>42</v>
      </c>
      <c r="B8" s="96" t="s">
        <v>54</v>
      </c>
      <c r="C8" s="103">
        <v>1086000</v>
      </c>
      <c r="D8" s="104">
        <v>217200</v>
      </c>
      <c r="E8" s="104">
        <v>270000</v>
      </c>
      <c r="F8" s="104">
        <v>130000</v>
      </c>
      <c r="G8" s="104">
        <v>70000</v>
      </c>
      <c r="H8" s="104">
        <v>1773200</v>
      </c>
      <c r="I8" s="104">
        <v>0</v>
      </c>
      <c r="J8" s="105">
        <v>1773200</v>
      </c>
    </row>
    <row r="9" spans="1:97" x14ac:dyDescent="0.2">
      <c r="A9" s="96" t="s">
        <v>46</v>
      </c>
      <c r="B9" s="96" t="s">
        <v>54</v>
      </c>
      <c r="C9" s="103">
        <v>204000</v>
      </c>
      <c r="D9" s="104">
        <v>40800</v>
      </c>
      <c r="E9" s="104">
        <v>195000</v>
      </c>
      <c r="F9" s="104">
        <v>30000</v>
      </c>
      <c r="G9" s="104">
        <v>15000</v>
      </c>
      <c r="H9" s="104">
        <v>484800</v>
      </c>
      <c r="I9" s="104">
        <v>0</v>
      </c>
      <c r="J9" s="105">
        <v>484800</v>
      </c>
    </row>
    <row r="10" spans="1:97" x14ac:dyDescent="0.2">
      <c r="A10" s="96" t="s">
        <v>92</v>
      </c>
      <c r="B10" s="96" t="s">
        <v>54</v>
      </c>
      <c r="C10" s="103">
        <v>0</v>
      </c>
      <c r="D10" s="104">
        <v>0</v>
      </c>
      <c r="E10" s="104">
        <v>0</v>
      </c>
      <c r="F10" s="104">
        <v>0</v>
      </c>
      <c r="G10" s="104">
        <v>0</v>
      </c>
      <c r="H10" s="104">
        <v>0</v>
      </c>
      <c r="I10" s="104">
        <v>950000</v>
      </c>
      <c r="J10" s="105">
        <v>950000</v>
      </c>
    </row>
    <row r="11" spans="1:97" x14ac:dyDescent="0.2">
      <c r="A11" s="96" t="s">
        <v>97</v>
      </c>
      <c r="B11" s="96" t="s">
        <v>54</v>
      </c>
      <c r="C11" s="103">
        <v>186000</v>
      </c>
      <c r="D11" s="104">
        <v>37200</v>
      </c>
      <c r="E11" s="104">
        <v>55000</v>
      </c>
      <c r="F11" s="104">
        <v>0</v>
      </c>
      <c r="G11" s="104">
        <v>15000</v>
      </c>
      <c r="H11" s="104">
        <v>293200</v>
      </c>
      <c r="I11" s="104">
        <v>0</v>
      </c>
      <c r="J11" s="105">
        <v>293200</v>
      </c>
    </row>
    <row r="12" spans="1:97" x14ac:dyDescent="0.2">
      <c r="A12" s="102" t="s">
        <v>30</v>
      </c>
      <c r="B12" s="116"/>
      <c r="C12" s="107">
        <v>2563500</v>
      </c>
      <c r="D12" s="108">
        <v>512700</v>
      </c>
      <c r="E12" s="108">
        <v>727500</v>
      </c>
      <c r="F12" s="108">
        <v>262500</v>
      </c>
      <c r="G12" s="108">
        <v>162500</v>
      </c>
      <c r="H12" s="108">
        <v>4228700</v>
      </c>
      <c r="I12" s="108">
        <v>950000</v>
      </c>
      <c r="J12" s="109">
        <v>5178700</v>
      </c>
    </row>
    <row r="13" spans="1:97" s="4" customFormat="1" x14ac:dyDescent="0.2">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row>
    <row r="29" spans="1:60" s="5" customFormat="1" x14ac:dyDescent="0.2">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row>
    <row r="37" spans="1:9" x14ac:dyDescent="0.2">
      <c r="A37" s="7"/>
    </row>
    <row r="41" spans="1:9" x14ac:dyDescent="0.2">
      <c r="B41" s="4"/>
    </row>
    <row r="42" spans="1:9" x14ac:dyDescent="0.2">
      <c r="B42" s="4"/>
    </row>
    <row r="43" spans="1:9" x14ac:dyDescent="0.2">
      <c r="I43" s="4"/>
    </row>
    <row r="44" spans="1:9" x14ac:dyDescent="0.2">
      <c r="I44" s="10"/>
    </row>
    <row r="45" spans="1:9" x14ac:dyDescent="0.2">
      <c r="I45" s="10"/>
    </row>
    <row r="46" spans="1:9" x14ac:dyDescent="0.2">
      <c r="B46" s="4"/>
      <c r="I46" s="10"/>
    </row>
    <row r="48" spans="1:9" x14ac:dyDescent="0.2">
      <c r="B48" s="4"/>
    </row>
    <row r="49" spans="2:2" x14ac:dyDescent="0.2">
      <c r="B49" s="4"/>
    </row>
    <row r="53" spans="2:2" x14ac:dyDescent="0.2">
      <c r="B53" s="4"/>
    </row>
    <row r="61" spans="2:2" x14ac:dyDescent="0.2">
      <c r="B61" s="4"/>
    </row>
    <row r="62" spans="2:2" x14ac:dyDescent="0.2">
      <c r="B62" s="4"/>
    </row>
    <row r="66" spans="2:2" x14ac:dyDescent="0.2">
      <c r="B66" s="11"/>
    </row>
    <row r="67" spans="2:2" x14ac:dyDescent="0.2">
      <c r="B67" s="7"/>
    </row>
    <row r="71" spans="2:2" x14ac:dyDescent="0.2">
      <c r="B71" s="7"/>
    </row>
  </sheetData>
  <mergeCells count="1">
    <mergeCell ref="A3:C3"/>
  </mergeCells>
  <phoneticPr fontId="2" type="noConversion"/>
  <conditionalFormatting sqref="B38:E113 B26:E28">
    <cfRule type="expression" dxfId="151" priority="2" stopIfTrue="1">
      <formula>$G26&gt;1</formula>
    </cfRule>
  </conditionalFormatting>
  <pageMargins left="0.78740157499999996" right="0.78740157499999996" top="0.984251969" bottom="0.984251969" header="0.4921259845" footer="0.4921259845"/>
  <pageSetup paperSize="9" scale="94" fitToHeight="8"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indexed="10"/>
    <pageSetUpPr fitToPage="1"/>
  </sheetPr>
  <dimension ref="A2:CS42"/>
  <sheetViews>
    <sheetView workbookViewId="0">
      <selection activeCell="F9" sqref="F9"/>
    </sheetView>
  </sheetViews>
  <sheetFormatPr baseColWidth="10" defaultRowHeight="12.75" x14ac:dyDescent="0.2"/>
  <cols>
    <col min="1" max="1" width="10.7109375" customWidth="1"/>
    <col min="2" max="8" width="12.7109375" customWidth="1"/>
    <col min="9" max="9" width="10.7109375" customWidth="1"/>
    <col min="10" max="113" width="19.5703125" customWidth="1"/>
    <col min="114" max="114" width="10.140625" customWidth="1"/>
    <col min="115" max="115" width="22.42578125" bestFit="1" customWidth="1"/>
    <col min="116" max="116" width="22.42578125" customWidth="1"/>
    <col min="117" max="117" width="22.42578125" bestFit="1" customWidth="1"/>
    <col min="118" max="118" width="22.42578125" customWidth="1"/>
    <col min="119" max="119" width="22.42578125" bestFit="1" customWidth="1"/>
    <col min="120" max="120" width="22.42578125" customWidth="1"/>
    <col min="121" max="121" width="22.42578125" bestFit="1" customWidth="1"/>
    <col min="122" max="122" width="22.42578125" customWidth="1"/>
    <col min="123" max="123" width="22.42578125" bestFit="1" customWidth="1"/>
    <col min="124" max="124" width="22.42578125" customWidth="1"/>
    <col min="125" max="125" width="22.42578125" bestFit="1" customWidth="1"/>
    <col min="126" max="126" width="22.42578125" customWidth="1"/>
    <col min="127" max="127" width="22.42578125" bestFit="1" customWidth="1"/>
    <col min="128" max="128" width="22.42578125" customWidth="1"/>
    <col min="129" max="129" width="22.42578125" bestFit="1" customWidth="1"/>
    <col min="130" max="130" width="22.42578125" customWidth="1"/>
    <col min="131" max="131" width="22.42578125" bestFit="1" customWidth="1"/>
    <col min="132" max="132" width="22.42578125" customWidth="1"/>
    <col min="133" max="133" width="22.42578125" bestFit="1" customWidth="1"/>
    <col min="134" max="134" width="22.42578125" customWidth="1"/>
    <col min="135" max="135" width="22.42578125" bestFit="1" customWidth="1"/>
    <col min="136" max="136" width="22.42578125" customWidth="1"/>
    <col min="137" max="137" width="22.42578125" bestFit="1" customWidth="1"/>
    <col min="138" max="138" width="22.42578125" customWidth="1"/>
    <col min="139" max="139" width="22.42578125" bestFit="1" customWidth="1"/>
    <col min="140" max="140" width="22.42578125" customWidth="1"/>
    <col min="141" max="141" width="22.42578125" bestFit="1" customWidth="1"/>
    <col min="142" max="142" width="22.42578125" customWidth="1"/>
    <col min="143" max="143" width="22.42578125" bestFit="1" customWidth="1"/>
    <col min="144" max="144" width="22.42578125" customWidth="1"/>
    <col min="145" max="145" width="22.42578125" bestFit="1" customWidth="1"/>
    <col min="146" max="146" width="22.42578125" customWidth="1"/>
    <col min="147" max="147" width="22.42578125" bestFit="1" customWidth="1"/>
    <col min="148" max="148" width="22.42578125" customWidth="1"/>
    <col min="149" max="149" width="22.42578125" bestFit="1" customWidth="1"/>
    <col min="150" max="150" width="22.42578125" customWidth="1"/>
    <col min="151" max="151" width="22.42578125" bestFit="1" customWidth="1"/>
    <col min="152" max="152" width="22.42578125" customWidth="1"/>
    <col min="153" max="153" width="22.42578125" bestFit="1" customWidth="1"/>
    <col min="154" max="154" width="22.42578125" customWidth="1"/>
    <col min="155" max="155" width="22.42578125" bestFit="1" customWidth="1"/>
    <col min="156" max="157" width="22.42578125" customWidth="1"/>
    <col min="158" max="158" width="22.42578125" bestFit="1" customWidth="1"/>
    <col min="159" max="159" width="22.42578125" customWidth="1"/>
    <col min="160" max="160" width="22.42578125" bestFit="1" customWidth="1"/>
    <col min="161" max="161" width="22.42578125" customWidth="1"/>
    <col min="162" max="162" width="22.42578125" bestFit="1" customWidth="1"/>
    <col min="163" max="163" width="22.42578125" customWidth="1"/>
    <col min="164" max="164" width="22.42578125" bestFit="1" customWidth="1"/>
    <col min="165" max="165" width="22.42578125" customWidth="1"/>
    <col min="166" max="166" width="22.42578125" bestFit="1" customWidth="1"/>
    <col min="167" max="167" width="22.42578125" customWidth="1"/>
    <col min="168" max="168" width="22.42578125" bestFit="1" customWidth="1"/>
    <col min="169" max="169" width="22.42578125" customWidth="1"/>
    <col min="170" max="170" width="22.42578125" bestFit="1" customWidth="1"/>
    <col min="171" max="171" width="22.42578125" customWidth="1"/>
    <col min="172" max="172" width="22.42578125" bestFit="1" customWidth="1"/>
    <col min="173" max="173" width="22.42578125" customWidth="1"/>
    <col min="174" max="174" width="22.42578125" bestFit="1" customWidth="1"/>
    <col min="175" max="175" width="22.42578125" customWidth="1"/>
    <col min="176" max="176" width="22.42578125" bestFit="1" customWidth="1"/>
    <col min="177" max="177" width="22.42578125" customWidth="1"/>
    <col min="178" max="178" width="22.42578125" bestFit="1" customWidth="1"/>
    <col min="179" max="179" width="22.42578125" customWidth="1"/>
    <col min="180" max="180" width="22.42578125" bestFit="1" customWidth="1"/>
    <col min="181" max="181" width="22.42578125" customWidth="1"/>
    <col min="182" max="182" width="22.42578125" bestFit="1" customWidth="1"/>
    <col min="183" max="183" width="22.42578125" customWidth="1"/>
    <col min="184" max="184" width="22.42578125" bestFit="1" customWidth="1"/>
    <col min="185" max="185" width="22.42578125" customWidth="1"/>
    <col min="186" max="186" width="22.42578125" bestFit="1" customWidth="1"/>
    <col min="187" max="187" width="22.42578125" customWidth="1"/>
    <col min="188" max="188" width="22.42578125" bestFit="1" customWidth="1"/>
    <col min="189" max="189" width="22.42578125" customWidth="1"/>
    <col min="190" max="190" width="22.42578125" bestFit="1" customWidth="1"/>
    <col min="191" max="191" width="22.42578125" customWidth="1"/>
    <col min="192" max="192" width="22.42578125" bestFit="1" customWidth="1"/>
    <col min="193" max="193" width="22.42578125" customWidth="1"/>
    <col min="194" max="194" width="22.42578125" bestFit="1" customWidth="1"/>
    <col min="195" max="195" width="22.42578125" customWidth="1"/>
    <col min="196" max="196" width="22.42578125" bestFit="1" customWidth="1"/>
    <col min="197" max="197" width="22.42578125" customWidth="1"/>
    <col min="198" max="198" width="22.42578125" bestFit="1" customWidth="1"/>
    <col min="199" max="199" width="22.42578125" customWidth="1"/>
    <col min="200" max="200" width="22.42578125" bestFit="1" customWidth="1"/>
    <col min="201" max="201" width="22.42578125" customWidth="1"/>
    <col min="202" max="202" width="22.42578125" bestFit="1" customWidth="1"/>
    <col min="203" max="203" width="22.42578125" customWidth="1"/>
    <col min="204" max="204" width="22.42578125" bestFit="1" customWidth="1"/>
    <col min="205" max="205" width="22.42578125" customWidth="1"/>
    <col min="206" max="206" width="22.42578125" bestFit="1" customWidth="1"/>
    <col min="207" max="207" width="22.42578125" customWidth="1"/>
    <col min="208" max="208" width="22.42578125" bestFit="1" customWidth="1"/>
    <col min="209" max="209" width="22.42578125" customWidth="1"/>
    <col min="210" max="210" width="22.42578125" bestFit="1" customWidth="1"/>
    <col min="211" max="211" width="22.42578125" customWidth="1"/>
    <col min="212" max="212" width="22.42578125" bestFit="1" customWidth="1"/>
    <col min="213" max="213" width="22.42578125" customWidth="1"/>
    <col min="214" max="214" width="22.42578125" bestFit="1" customWidth="1"/>
    <col min="215" max="215" width="22.42578125" customWidth="1"/>
    <col min="216" max="216" width="22.42578125" bestFit="1" customWidth="1"/>
    <col min="217" max="217" width="22.42578125" customWidth="1"/>
    <col min="218" max="218" width="22.42578125" bestFit="1" customWidth="1"/>
    <col min="219" max="219" width="22.42578125" customWidth="1"/>
    <col min="220" max="220" width="22.42578125" bestFit="1" customWidth="1"/>
    <col min="221" max="221" width="22.42578125" customWidth="1"/>
    <col min="222" max="222" width="22.42578125" bestFit="1" customWidth="1"/>
    <col min="223" max="223" width="22.42578125" customWidth="1"/>
    <col min="224" max="224" width="22.42578125" bestFit="1" customWidth="1"/>
    <col min="225" max="225" width="22.42578125" customWidth="1"/>
    <col min="226" max="226" width="27.140625" bestFit="1" customWidth="1"/>
    <col min="227" max="227" width="17.85546875" customWidth="1"/>
    <col min="228" max="228" width="13.7109375" bestFit="1" customWidth="1"/>
    <col min="229" max="229" width="9.140625" customWidth="1"/>
    <col min="230" max="230" width="13.7109375" bestFit="1" customWidth="1"/>
    <col min="231" max="231" width="9.140625" customWidth="1"/>
    <col min="232" max="232" width="13.7109375" bestFit="1" customWidth="1"/>
    <col min="233" max="233" width="9.140625" customWidth="1"/>
    <col min="234" max="234" width="13.7109375" bestFit="1" customWidth="1"/>
    <col min="235" max="235" width="10.140625" customWidth="1"/>
  </cols>
  <sheetData>
    <row r="2" spans="1:97" x14ac:dyDescent="0.2">
      <c r="C2" s="3"/>
      <c r="D2" s="3"/>
    </row>
    <row r="3" spans="1:97" ht="14.25" x14ac:dyDescent="0.2">
      <c r="A3" s="94"/>
      <c r="B3" s="95"/>
      <c r="C3" s="95"/>
      <c r="D3" s="3"/>
    </row>
    <row r="4" spans="1:97" ht="38.25" x14ac:dyDescent="0.2">
      <c r="A4" s="120" t="s">
        <v>106</v>
      </c>
      <c r="B4" s="97" t="s">
        <v>1</v>
      </c>
      <c r="C4" s="98"/>
      <c r="D4" s="98"/>
      <c r="E4" s="98"/>
      <c r="F4" s="98"/>
      <c r="G4" s="98"/>
      <c r="H4" s="99"/>
    </row>
    <row r="5" spans="1:97" x14ac:dyDescent="0.2">
      <c r="A5" s="111" t="s">
        <v>3</v>
      </c>
      <c r="B5" s="96" t="s">
        <v>31</v>
      </c>
      <c r="C5" s="100" t="s">
        <v>39</v>
      </c>
      <c r="D5" s="100" t="s">
        <v>42</v>
      </c>
      <c r="E5" s="100" t="s">
        <v>46</v>
      </c>
      <c r="F5" s="100" t="s">
        <v>92</v>
      </c>
      <c r="G5" s="100" t="s">
        <v>97</v>
      </c>
      <c r="H5" s="114" t="s">
        <v>30</v>
      </c>
    </row>
    <row r="6" spans="1:97" x14ac:dyDescent="0.2">
      <c r="A6" s="96" t="s">
        <v>33</v>
      </c>
      <c r="B6" s="103">
        <v>31800</v>
      </c>
      <c r="C6" s="104">
        <v>773400</v>
      </c>
      <c r="D6" s="104">
        <v>1031200</v>
      </c>
      <c r="E6" s="104">
        <v>357800</v>
      </c>
      <c r="F6" s="104">
        <v>250000</v>
      </c>
      <c r="G6" s="104">
        <v>145200</v>
      </c>
      <c r="H6" s="117">
        <v>2589400</v>
      </c>
    </row>
    <row r="7" spans="1:97" x14ac:dyDescent="0.2">
      <c r="A7" s="101" t="s">
        <v>35</v>
      </c>
      <c r="B7" s="106">
        <v>0</v>
      </c>
      <c r="C7" s="6">
        <v>291000</v>
      </c>
      <c r="D7" s="6">
        <v>388000</v>
      </c>
      <c r="E7" s="6">
        <v>127000</v>
      </c>
      <c r="F7" s="6">
        <v>700000</v>
      </c>
      <c r="G7" s="6">
        <v>148000</v>
      </c>
      <c r="H7" s="118">
        <v>1654000</v>
      </c>
    </row>
    <row r="8" spans="1:97" x14ac:dyDescent="0.2">
      <c r="A8" s="101" t="s">
        <v>36</v>
      </c>
      <c r="B8" s="106">
        <v>0</v>
      </c>
      <c r="C8" s="6">
        <v>265500</v>
      </c>
      <c r="D8" s="6">
        <v>354000</v>
      </c>
      <c r="E8" s="6">
        <v>0</v>
      </c>
      <c r="F8" s="6">
        <v>0</v>
      </c>
      <c r="G8" s="6">
        <v>0</v>
      </c>
      <c r="H8" s="118">
        <v>619500</v>
      </c>
    </row>
    <row r="9" spans="1:97" x14ac:dyDescent="0.2">
      <c r="A9" s="101" t="s">
        <v>71</v>
      </c>
      <c r="B9" s="106">
        <v>0</v>
      </c>
      <c r="C9" s="6">
        <v>157900</v>
      </c>
      <c r="D9" s="6">
        <v>0</v>
      </c>
      <c r="E9" s="6">
        <v>0</v>
      </c>
      <c r="F9" s="6">
        <v>0</v>
      </c>
      <c r="G9" s="6">
        <v>0</v>
      </c>
      <c r="H9" s="118">
        <v>157900</v>
      </c>
    </row>
    <row r="10" spans="1:97" x14ac:dyDescent="0.2">
      <c r="A10" s="101" t="s">
        <v>73</v>
      </c>
      <c r="B10" s="106">
        <v>0</v>
      </c>
      <c r="C10" s="6">
        <v>157900</v>
      </c>
      <c r="D10" s="6">
        <v>0</v>
      </c>
      <c r="E10" s="6">
        <v>0</v>
      </c>
      <c r="F10" s="6">
        <v>0</v>
      </c>
      <c r="G10" s="6">
        <v>0</v>
      </c>
      <c r="H10" s="118">
        <v>157900</v>
      </c>
    </row>
    <row r="11" spans="1:97" x14ac:dyDescent="0.2">
      <c r="A11" s="102" t="s">
        <v>30</v>
      </c>
      <c r="B11" s="107">
        <v>31800</v>
      </c>
      <c r="C11" s="108">
        <v>1645700</v>
      </c>
      <c r="D11" s="108">
        <v>1773200</v>
      </c>
      <c r="E11" s="108">
        <v>484800</v>
      </c>
      <c r="F11" s="108">
        <v>950000</v>
      </c>
      <c r="G11" s="108">
        <v>293200</v>
      </c>
      <c r="H11" s="119">
        <v>5178700</v>
      </c>
    </row>
    <row r="13" spans="1:97" s="4" customFormat="1" x14ac:dyDescent="0.2">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row>
    <row r="19" spans="1:60" x14ac:dyDescent="0.2">
      <c r="G19" s="17"/>
      <c r="H19" s="1"/>
    </row>
    <row r="20" spans="1:60" x14ac:dyDescent="0.2">
      <c r="G20" s="17"/>
      <c r="H20" s="1"/>
    </row>
    <row r="21" spans="1:60" x14ac:dyDescent="0.2">
      <c r="G21" s="17"/>
      <c r="H21" s="1"/>
    </row>
    <row r="22" spans="1:60" x14ac:dyDescent="0.2">
      <c r="G22" s="17"/>
      <c r="H22" s="1"/>
    </row>
    <row r="23" spans="1:60" x14ac:dyDescent="0.2">
      <c r="G23" s="17"/>
      <c r="H23" s="1"/>
    </row>
    <row r="24" spans="1:60" x14ac:dyDescent="0.2">
      <c r="G24" s="17"/>
      <c r="H24" s="1"/>
    </row>
    <row r="25" spans="1:60" x14ac:dyDescent="0.2">
      <c r="G25" s="17"/>
      <c r="H25" s="1"/>
    </row>
    <row r="26" spans="1:60" x14ac:dyDescent="0.2">
      <c r="G26" s="1"/>
      <c r="H26" s="1"/>
    </row>
    <row r="27" spans="1:60" x14ac:dyDescent="0.2">
      <c r="G27" s="1"/>
      <c r="H27" s="1"/>
    </row>
    <row r="29" spans="1:60" s="5" customFormat="1" x14ac:dyDescent="0.2">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row>
    <row r="30" spans="1:60" x14ac:dyDescent="0.2">
      <c r="A30" s="4"/>
    </row>
    <row r="31" spans="1:60" x14ac:dyDescent="0.2">
      <c r="F31" s="15"/>
    </row>
    <row r="35" spans="1:7" x14ac:dyDescent="0.2">
      <c r="A35" s="4"/>
      <c r="G35" s="4"/>
    </row>
    <row r="36" spans="1:7" x14ac:dyDescent="0.2">
      <c r="A36" s="4"/>
      <c r="G36" s="10"/>
    </row>
    <row r="37" spans="1:7" x14ac:dyDescent="0.2">
      <c r="A37" s="4"/>
      <c r="G37" s="10"/>
    </row>
    <row r="40" spans="1:7" x14ac:dyDescent="0.2">
      <c r="A40" s="7"/>
    </row>
    <row r="41" spans="1:7" x14ac:dyDescent="0.2">
      <c r="A41" s="7"/>
    </row>
    <row r="42" spans="1:7" x14ac:dyDescent="0.2">
      <c r="A42" s="7"/>
    </row>
  </sheetData>
  <mergeCells count="1">
    <mergeCell ref="A3:C3"/>
  </mergeCells>
  <phoneticPr fontId="2" type="noConversion"/>
  <conditionalFormatting sqref="B53:E118 B29:E34">
    <cfRule type="expression" dxfId="140" priority="2" stopIfTrue="1">
      <formula>$G29&gt;1</formula>
    </cfRule>
  </conditionalFormatting>
  <conditionalFormatting sqref="G19:G25">
    <cfRule type="colorScale" priority="1">
      <colorScale>
        <cfvo type="min"/>
        <cfvo type="percentile" val="50"/>
        <cfvo type="max"/>
        <color rgb="FF5A8AC6"/>
        <color rgb="FFFCFCFF"/>
        <color rgb="FFF8696B"/>
      </colorScale>
    </cfRule>
  </conditionalFormatting>
  <pageMargins left="0.78740157499999996" right="0.78740157499999996" top="0.984251969" bottom="0.984251969" header="0.4921259845" footer="0.4921259845"/>
  <pageSetup paperSize="9" fitToHeight="8"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indexed="10"/>
    <pageSetUpPr fitToPage="1"/>
  </sheetPr>
  <dimension ref="A2:CS29"/>
  <sheetViews>
    <sheetView workbookViewId="0">
      <selection activeCell="C12" sqref="C12"/>
    </sheetView>
  </sheetViews>
  <sheetFormatPr baseColWidth="10" defaultRowHeight="12.75" x14ac:dyDescent="0.2"/>
  <cols>
    <col min="1" max="1" width="15" customWidth="1"/>
    <col min="2" max="2" width="9.85546875" customWidth="1"/>
    <col min="3" max="3" width="11.85546875" customWidth="1"/>
    <col min="4" max="4" width="12.42578125" customWidth="1"/>
    <col min="5" max="6" width="10.7109375" customWidth="1"/>
    <col min="7" max="7" width="12.140625" customWidth="1"/>
    <col min="8" max="8" width="10.42578125" customWidth="1"/>
    <col min="9" max="9" width="10.7109375" customWidth="1"/>
    <col min="10" max="10" width="9.85546875" customWidth="1"/>
    <col min="11" max="11" width="7.7109375" customWidth="1"/>
    <col min="12" max="113" width="19.5703125" customWidth="1"/>
    <col min="114" max="114" width="10.140625" customWidth="1"/>
    <col min="115" max="115" width="22.42578125" bestFit="1" customWidth="1"/>
    <col min="116" max="116" width="22.42578125" customWidth="1"/>
    <col min="117" max="117" width="22.42578125" bestFit="1" customWidth="1"/>
    <col min="118" max="118" width="22.42578125" customWidth="1"/>
    <col min="119" max="119" width="22.42578125" bestFit="1" customWidth="1"/>
    <col min="120" max="120" width="22.42578125" customWidth="1"/>
    <col min="121" max="121" width="22.42578125" bestFit="1" customWidth="1"/>
    <col min="122" max="122" width="22.42578125" customWidth="1"/>
    <col min="123" max="123" width="22.42578125" bestFit="1" customWidth="1"/>
    <col min="124" max="124" width="22.42578125" customWidth="1"/>
    <col min="125" max="125" width="22.42578125" bestFit="1" customWidth="1"/>
    <col min="126" max="126" width="22.42578125" customWidth="1"/>
    <col min="127" max="127" width="22.42578125" bestFit="1" customWidth="1"/>
    <col min="128" max="128" width="22.42578125" customWidth="1"/>
    <col min="129" max="129" width="22.42578125" bestFit="1" customWidth="1"/>
    <col min="130" max="130" width="22.42578125" customWidth="1"/>
    <col min="131" max="131" width="22.42578125" bestFit="1" customWidth="1"/>
    <col min="132" max="132" width="22.42578125" customWidth="1"/>
    <col min="133" max="133" width="22.42578125" bestFit="1" customWidth="1"/>
    <col min="134" max="134" width="22.42578125" customWidth="1"/>
    <col min="135" max="135" width="22.42578125" bestFit="1" customWidth="1"/>
    <col min="136" max="136" width="22.42578125" customWidth="1"/>
    <col min="137" max="137" width="22.42578125" bestFit="1" customWidth="1"/>
    <col min="138" max="138" width="22.42578125" customWidth="1"/>
    <col min="139" max="139" width="22.42578125" bestFit="1" customWidth="1"/>
    <col min="140" max="140" width="22.42578125" customWidth="1"/>
    <col min="141" max="141" width="22.42578125" bestFit="1" customWidth="1"/>
    <col min="142" max="142" width="22.42578125" customWidth="1"/>
    <col min="143" max="143" width="22.42578125" bestFit="1" customWidth="1"/>
    <col min="144" max="144" width="22.42578125" customWidth="1"/>
    <col min="145" max="145" width="22.42578125" bestFit="1" customWidth="1"/>
    <col min="146" max="146" width="22.42578125" customWidth="1"/>
    <col min="147" max="147" width="22.42578125" bestFit="1" customWidth="1"/>
    <col min="148" max="148" width="22.42578125" customWidth="1"/>
    <col min="149" max="149" width="22.42578125" bestFit="1" customWidth="1"/>
    <col min="150" max="150" width="22.42578125" customWidth="1"/>
    <col min="151" max="151" width="22.42578125" bestFit="1" customWidth="1"/>
    <col min="152" max="152" width="22.42578125" customWidth="1"/>
    <col min="153" max="153" width="22.42578125" bestFit="1" customWidth="1"/>
    <col min="154" max="154" width="22.42578125" customWidth="1"/>
    <col min="155" max="155" width="22.42578125" bestFit="1" customWidth="1"/>
    <col min="156" max="157" width="22.42578125" customWidth="1"/>
    <col min="158" max="158" width="22.42578125" bestFit="1" customWidth="1"/>
    <col min="159" max="159" width="22.42578125" customWidth="1"/>
    <col min="160" max="160" width="22.42578125" bestFit="1" customWidth="1"/>
    <col min="161" max="161" width="22.42578125" customWidth="1"/>
    <col min="162" max="162" width="22.42578125" bestFit="1" customWidth="1"/>
    <col min="163" max="163" width="22.42578125" customWidth="1"/>
    <col min="164" max="164" width="22.42578125" bestFit="1" customWidth="1"/>
    <col min="165" max="165" width="22.42578125" customWidth="1"/>
    <col min="166" max="166" width="22.42578125" bestFit="1" customWidth="1"/>
    <col min="167" max="167" width="22.42578125" customWidth="1"/>
    <col min="168" max="168" width="22.42578125" bestFit="1" customWidth="1"/>
    <col min="169" max="169" width="22.42578125" customWidth="1"/>
    <col min="170" max="170" width="22.42578125" bestFit="1" customWidth="1"/>
    <col min="171" max="171" width="22.42578125" customWidth="1"/>
    <col min="172" max="172" width="22.42578125" bestFit="1" customWidth="1"/>
    <col min="173" max="173" width="22.42578125" customWidth="1"/>
    <col min="174" max="174" width="22.42578125" bestFit="1" customWidth="1"/>
    <col min="175" max="175" width="22.42578125" customWidth="1"/>
    <col min="176" max="176" width="22.42578125" bestFit="1" customWidth="1"/>
    <col min="177" max="177" width="22.42578125" customWidth="1"/>
    <col min="178" max="178" width="22.42578125" bestFit="1" customWidth="1"/>
    <col min="179" max="179" width="22.42578125" customWidth="1"/>
    <col min="180" max="180" width="22.42578125" bestFit="1" customWidth="1"/>
    <col min="181" max="181" width="22.42578125" customWidth="1"/>
    <col min="182" max="182" width="22.42578125" bestFit="1" customWidth="1"/>
    <col min="183" max="183" width="22.42578125" customWidth="1"/>
    <col min="184" max="184" width="22.42578125" bestFit="1" customWidth="1"/>
    <col min="185" max="185" width="22.42578125" customWidth="1"/>
    <col min="186" max="186" width="22.42578125" bestFit="1" customWidth="1"/>
    <col min="187" max="187" width="22.42578125" customWidth="1"/>
    <col min="188" max="188" width="22.42578125" bestFit="1" customWidth="1"/>
    <col min="189" max="189" width="22.42578125" customWidth="1"/>
    <col min="190" max="190" width="22.42578125" bestFit="1" customWidth="1"/>
    <col min="191" max="191" width="22.42578125" customWidth="1"/>
    <col min="192" max="192" width="22.42578125" bestFit="1" customWidth="1"/>
    <col min="193" max="193" width="22.42578125" customWidth="1"/>
    <col min="194" max="194" width="22.42578125" bestFit="1" customWidth="1"/>
    <col min="195" max="195" width="22.42578125" customWidth="1"/>
    <col min="196" max="196" width="22.42578125" bestFit="1" customWidth="1"/>
    <col min="197" max="197" width="22.42578125" customWidth="1"/>
    <col min="198" max="198" width="22.42578125" bestFit="1" customWidth="1"/>
    <col min="199" max="199" width="22.42578125" customWidth="1"/>
    <col min="200" max="200" width="22.42578125" bestFit="1" customWidth="1"/>
    <col min="201" max="201" width="22.42578125" customWidth="1"/>
    <col min="202" max="202" width="22.42578125" bestFit="1" customWidth="1"/>
    <col min="203" max="203" width="22.42578125" customWidth="1"/>
    <col min="204" max="204" width="22.42578125" bestFit="1" customWidth="1"/>
    <col min="205" max="205" width="22.42578125" customWidth="1"/>
    <col min="206" max="206" width="22.42578125" bestFit="1" customWidth="1"/>
    <col min="207" max="207" width="22.42578125" customWidth="1"/>
    <col min="208" max="208" width="22.42578125" bestFit="1" customWidth="1"/>
    <col min="209" max="209" width="22.42578125" customWidth="1"/>
    <col min="210" max="210" width="22.42578125" bestFit="1" customWidth="1"/>
    <col min="211" max="211" width="22.42578125" customWidth="1"/>
    <col min="212" max="212" width="22.42578125" bestFit="1" customWidth="1"/>
    <col min="213" max="213" width="22.42578125" customWidth="1"/>
    <col min="214" max="214" width="22.42578125" bestFit="1" customWidth="1"/>
    <col min="215" max="215" width="22.42578125" customWidth="1"/>
    <col min="216" max="216" width="22.42578125" bestFit="1" customWidth="1"/>
    <col min="217" max="217" width="22.42578125" customWidth="1"/>
    <col min="218" max="218" width="22.42578125" bestFit="1" customWidth="1"/>
    <col min="219" max="219" width="22.42578125" customWidth="1"/>
    <col min="220" max="220" width="22.42578125" bestFit="1" customWidth="1"/>
    <col min="221" max="221" width="22.42578125" customWidth="1"/>
    <col min="222" max="222" width="22.42578125" bestFit="1" customWidth="1"/>
    <col min="223" max="223" width="22.42578125" customWidth="1"/>
    <col min="224" max="224" width="22.42578125" bestFit="1" customWidth="1"/>
    <col min="225" max="225" width="22.42578125" customWidth="1"/>
    <col min="226" max="226" width="27.140625" bestFit="1" customWidth="1"/>
    <col min="227" max="227" width="17.85546875" customWidth="1"/>
    <col min="228" max="228" width="13.7109375" bestFit="1" customWidth="1"/>
    <col min="229" max="229" width="9.140625" customWidth="1"/>
    <col min="230" max="230" width="13.7109375" bestFit="1" customWidth="1"/>
    <col min="231" max="231" width="9.140625" customWidth="1"/>
    <col min="232" max="232" width="13.7109375" bestFit="1" customWidth="1"/>
    <col min="233" max="233" width="9.140625" customWidth="1"/>
    <col min="234" max="234" width="13.7109375" bestFit="1" customWidth="1"/>
    <col min="235" max="235" width="10.140625" customWidth="1"/>
  </cols>
  <sheetData>
    <row r="2" spans="1:97" x14ac:dyDescent="0.2">
      <c r="C2" s="3"/>
      <c r="D2" s="3"/>
    </row>
    <row r="3" spans="1:97" ht="14.25" x14ac:dyDescent="0.2">
      <c r="A3" s="94"/>
      <c r="B3" s="95"/>
      <c r="C3" s="95"/>
      <c r="D3" s="3"/>
    </row>
    <row r="4" spans="1:97" ht="25.5" x14ac:dyDescent="0.2">
      <c r="A4" s="120" t="s">
        <v>106</v>
      </c>
      <c r="B4" s="121"/>
      <c r="C4" s="114"/>
    </row>
    <row r="5" spans="1:97" x14ac:dyDescent="0.2">
      <c r="A5" s="97" t="s">
        <v>1</v>
      </c>
      <c r="B5" s="111" t="s">
        <v>3</v>
      </c>
      <c r="C5" s="114" t="s">
        <v>98</v>
      </c>
    </row>
    <row r="6" spans="1:97" x14ac:dyDescent="0.2">
      <c r="A6" s="96" t="s">
        <v>31</v>
      </c>
      <c r="B6" s="96" t="s">
        <v>33</v>
      </c>
      <c r="C6" s="117">
        <v>31800</v>
      </c>
    </row>
    <row r="7" spans="1:97" x14ac:dyDescent="0.2">
      <c r="A7" s="122" t="s">
        <v>50</v>
      </c>
      <c r="B7" s="123"/>
      <c r="C7" s="124">
        <v>31800</v>
      </c>
    </row>
    <row r="8" spans="1:97" x14ac:dyDescent="0.2">
      <c r="A8" s="96" t="s">
        <v>39</v>
      </c>
      <c r="B8" s="96" t="s">
        <v>33</v>
      </c>
      <c r="C8" s="117">
        <v>773400</v>
      </c>
    </row>
    <row r="9" spans="1:97" x14ac:dyDescent="0.2">
      <c r="A9" s="115"/>
      <c r="B9" s="101" t="s">
        <v>35</v>
      </c>
      <c r="C9" s="118">
        <v>291000</v>
      </c>
    </row>
    <row r="10" spans="1:97" x14ac:dyDescent="0.2">
      <c r="A10" s="115"/>
      <c r="B10" s="101" t="s">
        <v>36</v>
      </c>
      <c r="C10" s="118">
        <v>265500</v>
      </c>
    </row>
    <row r="11" spans="1:97" x14ac:dyDescent="0.2">
      <c r="A11" s="115"/>
      <c r="B11" s="101" t="s">
        <v>71</v>
      </c>
      <c r="C11" s="118">
        <v>157900</v>
      </c>
    </row>
    <row r="12" spans="1:97" x14ac:dyDescent="0.2">
      <c r="A12" s="115"/>
      <c r="B12" s="101" t="s">
        <v>73</v>
      </c>
      <c r="C12" s="118">
        <v>157900</v>
      </c>
    </row>
    <row r="13" spans="1:97" s="4" customFormat="1" x14ac:dyDescent="0.2">
      <c r="A13" s="122" t="s">
        <v>51</v>
      </c>
      <c r="B13" s="123"/>
      <c r="C13" s="124">
        <v>1645700</v>
      </c>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row>
    <row r="14" spans="1:97" x14ac:dyDescent="0.2">
      <c r="A14" s="96" t="s">
        <v>42</v>
      </c>
      <c r="B14" s="96" t="s">
        <v>33</v>
      </c>
      <c r="C14" s="117">
        <v>1031200</v>
      </c>
    </row>
    <row r="15" spans="1:97" x14ac:dyDescent="0.2">
      <c r="A15" s="115"/>
      <c r="B15" s="101" t="s">
        <v>35</v>
      </c>
      <c r="C15" s="118">
        <v>388000</v>
      </c>
    </row>
    <row r="16" spans="1:97" x14ac:dyDescent="0.2">
      <c r="A16" s="115"/>
      <c r="B16" s="101" t="s">
        <v>36</v>
      </c>
      <c r="C16" s="118">
        <v>354000</v>
      </c>
    </row>
    <row r="17" spans="1:60" x14ac:dyDescent="0.2">
      <c r="A17" s="122" t="s">
        <v>52</v>
      </c>
      <c r="B17" s="123"/>
      <c r="C17" s="124">
        <v>1773200</v>
      </c>
    </row>
    <row r="18" spans="1:60" x14ac:dyDescent="0.2">
      <c r="A18" s="96" t="s">
        <v>46</v>
      </c>
      <c r="B18" s="96" t="s">
        <v>33</v>
      </c>
      <c r="C18" s="117">
        <v>357800</v>
      </c>
    </row>
    <row r="19" spans="1:60" x14ac:dyDescent="0.2">
      <c r="A19" s="115"/>
      <c r="B19" s="101" t="s">
        <v>35</v>
      </c>
      <c r="C19" s="118">
        <v>127000</v>
      </c>
    </row>
    <row r="20" spans="1:60" x14ac:dyDescent="0.2">
      <c r="A20" s="122" t="s">
        <v>53</v>
      </c>
      <c r="B20" s="123"/>
      <c r="C20" s="124">
        <v>484800</v>
      </c>
    </row>
    <row r="21" spans="1:60" x14ac:dyDescent="0.2">
      <c r="A21" s="96" t="s">
        <v>92</v>
      </c>
      <c r="B21" s="96" t="s">
        <v>33</v>
      </c>
      <c r="C21" s="117">
        <v>250000</v>
      </c>
    </row>
    <row r="22" spans="1:60" x14ac:dyDescent="0.2">
      <c r="A22" s="115"/>
      <c r="B22" s="101" t="s">
        <v>35</v>
      </c>
      <c r="C22" s="118">
        <v>700000</v>
      </c>
    </row>
    <row r="23" spans="1:60" x14ac:dyDescent="0.2">
      <c r="A23" s="122" t="s">
        <v>107</v>
      </c>
      <c r="B23" s="123"/>
      <c r="C23" s="124">
        <v>950000</v>
      </c>
    </row>
    <row r="24" spans="1:60" x14ac:dyDescent="0.2">
      <c r="A24" s="96" t="s">
        <v>97</v>
      </c>
      <c r="B24" s="96" t="s">
        <v>33</v>
      </c>
      <c r="C24" s="117">
        <v>145200</v>
      </c>
    </row>
    <row r="25" spans="1:60" x14ac:dyDescent="0.2">
      <c r="A25" s="115"/>
      <c r="B25" s="101" t="s">
        <v>35</v>
      </c>
      <c r="C25" s="118">
        <v>148000</v>
      </c>
    </row>
    <row r="26" spans="1:60" x14ac:dyDescent="0.2">
      <c r="A26" s="122" t="s">
        <v>108</v>
      </c>
      <c r="B26" s="123"/>
      <c r="C26" s="124">
        <v>293200</v>
      </c>
    </row>
    <row r="27" spans="1:60" x14ac:dyDescent="0.2">
      <c r="A27" s="102" t="s">
        <v>30</v>
      </c>
      <c r="B27" s="116"/>
      <c r="C27" s="119">
        <v>5178700</v>
      </c>
    </row>
    <row r="29" spans="1:60" s="5" customFormat="1" x14ac:dyDescent="0.2">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row>
  </sheetData>
  <mergeCells count="1">
    <mergeCell ref="A3:C3"/>
  </mergeCells>
  <phoneticPr fontId="2" type="noConversion"/>
  <pageMargins left="0.78740157499999996" right="0.78740157499999996" top="0.984251969" bottom="0.984251969" header="0.4921259845" footer="0.4921259845"/>
  <pageSetup paperSize="9" scale="90" fitToHeight="8"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2</vt:i4>
      </vt:variant>
    </vt:vector>
  </HeadingPairs>
  <TitlesOfParts>
    <vt:vector size="14" baseType="lpstr">
      <vt:lpstr>Explications</vt:lpstr>
      <vt:lpstr>Calendrier</vt:lpstr>
      <vt:lpstr>Partenaires</vt:lpstr>
      <vt:lpstr>Devis</vt:lpstr>
      <vt:lpstr>Synthèse devis</vt:lpstr>
      <vt:lpstr>Part. vs nature coûts</vt:lpstr>
      <vt:lpstr>Lots vs nature coûts</vt:lpstr>
      <vt:lpstr>Part. vs lots</vt:lpstr>
      <vt:lpstr>Part. vs sous-lots</vt:lpstr>
      <vt:lpstr>Part. vs rh</vt:lpstr>
      <vt:lpstr>Vérif. fin EC</vt:lpstr>
      <vt:lpstr>Vérif. début EC</vt:lpstr>
      <vt:lpstr>'Synthèse devis'!Nom_court</vt:lpstr>
      <vt:lpstr>Nom_court</vt:lpstr>
    </vt:vector>
  </TitlesOfParts>
  <Company>Agence Innovation Industrielle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Thierry BUR</dc:creator>
  <cp:lastModifiedBy>Julie BAUDET</cp:lastModifiedBy>
  <cp:lastPrinted>2012-05-16T14:44:29Z</cp:lastPrinted>
  <dcterms:created xsi:type="dcterms:W3CDTF">2006-03-09T13:20:25Z</dcterms:created>
  <dcterms:modified xsi:type="dcterms:W3CDTF">2016-10-03T13:35:12Z</dcterms:modified>
</cp:coreProperties>
</file>